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W:\HP更新\200615以降_構成再編\Tips\SRIMfit\_programs\example\12_E5照射用\"/>
    </mc:Choice>
  </mc:AlternateContent>
  <xr:revisionPtr revIDLastSave="0" documentId="13_ncr:1_{A66CFEE4-38F6-47C3-A04C-741C4A7D00AF}" xr6:coauthVersionLast="45" xr6:coauthVersionMax="45" xr10:uidLastSave="{00000000-0000-0000-0000-000000000000}"/>
  <bookViews>
    <workbookView xWindow="9645" yWindow="2220" windowWidth="17220" windowHeight="16785" tabRatio="763" activeTab="1" xr2:uid="{00000000-000D-0000-FFFF-FFFF00000000}"/>
  </bookViews>
  <sheets>
    <sheet name="params" sheetId="197" r:id="rId1"/>
    <sheet name="1_ExpR推定" sheetId="217" r:id="rId2"/>
    <sheet name="2_ビーム希望表" sheetId="199" r:id="rId3"/>
  </sheets>
  <externalReferences>
    <externalReference r:id="rId4"/>
  </externalReferences>
  <definedNames>
    <definedName name="AirP">params!$D$35</definedName>
    <definedName name="AirP_Ar">params!$G$35</definedName>
    <definedName name="AirP_Kr">params!$H$35</definedName>
    <definedName name="AirT">params!$D$34</definedName>
    <definedName name="AirT_Ar">params!$G$34</definedName>
    <definedName name="AirT_Kr">params!$H$34</definedName>
    <definedName name="BeamE">params!$D$65</definedName>
    <definedName name="BeamE_Ar">params!$G$65</definedName>
    <definedName name="BeamE_Kr">params!$H$65</definedName>
    <definedName name="BeamWS">params!$D$66</definedName>
    <definedName name="ExpR">params!$D$70</definedName>
    <definedName name="ExpR_Ar">params!$G$70</definedName>
    <definedName name="ExpR_Kr">params!$H$70</definedName>
    <definedName name="ICs_Mylar">params!$D$38</definedName>
    <definedName name="ICs_Th">params!$D$39</definedName>
    <definedName name="solver_adj" localSheetId="0" hidden="1">params!$D$9:$D$16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params!$D$9:$D$16</definedName>
    <definedName name="solver_lhs2" localSheetId="0" hidden="1">params!$D$9:$D$16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params!#REF!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el2" localSheetId="0" hidden="1">3</definedName>
    <definedName name="solver_rhs1" localSheetId="0" hidden="1">params!$B$9:$B$16</definedName>
    <definedName name="solver_rhs2" localSheetId="0" hidden="1">params!#REF!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  <definedName name="ssdA_Al">params!$D$43</definedName>
    <definedName name="ssdA1_d1">params!$D$44</definedName>
    <definedName name="ssdA1_d2">params!$D$46</definedName>
    <definedName name="ssdA1_Ea">params!$D$74</definedName>
    <definedName name="ssdA1_Eb">params!$D$75</definedName>
    <definedName name="ssdA1_Th">params!$D$45</definedName>
    <definedName name="ssdA2_d1">params!$D$48</definedName>
    <definedName name="ssdA2_d2">params!$D$50</definedName>
    <definedName name="ssdA2_Ea">params!$D$77</definedName>
    <definedName name="ssdA2_Eb">params!$D$78</definedName>
    <definedName name="ssdA2_Th">params!$D$49</definedName>
    <definedName name="ssdB_Al">params!$D$54</definedName>
    <definedName name="ssdB1_d1">params!$D$55</definedName>
    <definedName name="ssdB1_d2">params!$D$57</definedName>
    <definedName name="ssdB1_Ea">params!$D$80</definedName>
    <definedName name="ssdB1_Eb">params!$D$81</definedName>
    <definedName name="ssdB1_Th">params!$D$56</definedName>
    <definedName name="ssdB2_d1">params!$D$59</definedName>
    <definedName name="ssdB2_d2">params!$D$61</definedName>
    <definedName name="ssdB2_Ea">params!$D$83</definedName>
    <definedName name="ssdB2_Eb">params!$D$84</definedName>
    <definedName name="ssdB2_Th">params!$D$60</definedName>
    <definedName name="ThAir1">params!$D$32</definedName>
    <definedName name="ThAir2">params!$D$33</definedName>
    <definedName name="ThAu">params!$D$24</definedName>
    <definedName name="ThAu_Ar">params!$G$24</definedName>
    <definedName name="ThAu_Kr">params!$H$24</definedName>
    <definedName name="ThEDtbl">params!$D$9:$D$20</definedName>
    <definedName name="ThICal">params!$D$26</definedName>
    <definedName name="ThICmylar">params!$D$27</definedName>
    <definedName name="ThKapton">params!$D$25</definedName>
    <definedName name="ThPL">params!$D$30</definedName>
    <definedName name="ThPLmyAl">params!$D$29</definedName>
    <definedName name="ThPLmylar">params!$D$28</definedName>
    <definedName name="WBtitle">params!$D$2</definedName>
    <definedName name="Z_3AC4C5A4_CC01_4AA2_8975_95BDDCF33CBA_.wvu.Cols" localSheetId="0" hidden="1">params!#REF!,params!#REF!,params!#REF!,params!#REF!</definedName>
    <definedName name="Z_8A5D6D5C_C043_4E6B_AB9F_8AB531120421_.wvu.Cols" localSheetId="0" hidden="1">params!#REF!,params!#REF!,params!#REF!,params!#REF!</definedName>
  </definedNames>
  <calcPr calcId="181029" iterate="1" iterateCount="1000"/>
  <customWorkbookViews>
    <customWorkbookView name="view1" guid="{8A5D6D5C-C043-4E6B-AB9F-8AB531120421}" xWindow="9" yWindow="76" windowWidth="1821" windowHeight="634" activeSheetId="80"/>
    <customWorkbookView name="view2" guid="{3AC4C5A4-CC01-4AA2-8975-95BDDCF33CBA}" xWindow="9" yWindow="76" windowWidth="1821" windowHeight="634" activeSheetId="80"/>
  </customWorkbookViews>
</workbook>
</file>

<file path=xl/calcChain.xml><?xml version="1.0" encoding="utf-8"?>
<calcChain xmlns="http://schemas.openxmlformats.org/spreadsheetml/2006/main">
  <c r="G46" i="217" l="1"/>
  <c r="J48" i="217" l="1"/>
  <c r="C32" i="217"/>
  <c r="B32" i="217"/>
  <c r="O40" i="217" s="1"/>
  <c r="C31" i="217"/>
  <c r="B31" i="217"/>
  <c r="P40" i="217" s="1"/>
  <c r="C30" i="217"/>
  <c r="B30" i="217"/>
  <c r="Q40" i="217" s="1"/>
  <c r="C29" i="217"/>
  <c r="B29" i="217"/>
  <c r="R40" i="217" s="1"/>
  <c r="B25" i="217"/>
  <c r="F40" i="217" s="1"/>
  <c r="H24" i="217"/>
  <c r="I23" i="217"/>
  <c r="B23" i="217"/>
  <c r="J22" i="217"/>
  <c r="B22" i="217"/>
  <c r="B21" i="217"/>
  <c r="K18" i="217"/>
  <c r="K16" i="217"/>
  <c r="K15" i="217"/>
  <c r="K14" i="217"/>
  <c r="G14" i="217"/>
  <c r="H14" i="217" s="1"/>
  <c r="G13" i="217"/>
  <c r="H13" i="217" s="1"/>
  <c r="K12" i="217"/>
  <c r="G12" i="217"/>
  <c r="H12" i="217" s="1"/>
  <c r="K11" i="217"/>
  <c r="G11" i="217"/>
  <c r="H11" i="217" s="1"/>
  <c r="K10" i="217"/>
  <c r="G10" i="217"/>
  <c r="H10" i="217" s="1"/>
  <c r="K9" i="217"/>
  <c r="G9" i="217"/>
  <c r="H9" i="217" s="1"/>
  <c r="K8" i="217"/>
  <c r="G8" i="217"/>
  <c r="H8" i="217" s="1"/>
  <c r="K7" i="217"/>
  <c r="G7" i="217"/>
  <c r="H7" i="217" s="1"/>
  <c r="K6" i="217"/>
  <c r="G6" i="217"/>
  <c r="H6" i="217" s="1"/>
  <c r="F2" i="217"/>
  <c r="M24" i="217"/>
  <c r="J19" i="217"/>
  <c r="H43" i="217"/>
  <c r="O43" i="217" s="1"/>
  <c r="H41" i="217"/>
  <c r="K24" i="217"/>
  <c r="I46" i="217"/>
  <c r="I54" i="217"/>
  <c r="J41" i="217"/>
  <c r="I24" i="217"/>
  <c r="I19" i="217"/>
  <c r="H25" i="217"/>
  <c r="I25" i="217"/>
  <c r="H44" i="217"/>
  <c r="J24" i="217"/>
  <c r="H42" i="217"/>
  <c r="H18" i="217"/>
  <c r="H45" i="217"/>
  <c r="M43" i="217"/>
  <c r="K43" i="217"/>
  <c r="O41" i="217"/>
  <c r="K41" i="217"/>
  <c r="H26" i="217"/>
  <c r="J25" i="217"/>
  <c r="K25" i="217"/>
  <c r="J44" i="217"/>
  <c r="O44" i="217"/>
  <c r="K42" i="217"/>
  <c r="K45" i="217"/>
  <c r="M45" i="217"/>
  <c r="J45" i="217"/>
  <c r="J26" i="217"/>
  <c r="M26" i="217"/>
  <c r="I26" i="217"/>
  <c r="H27" i="217"/>
  <c r="K26" i="217"/>
  <c r="I27" i="217"/>
  <c r="J27" i="217"/>
  <c r="K27" i="217"/>
  <c r="H28" i="217"/>
  <c r="M27" i="217"/>
  <c r="K28" i="217"/>
  <c r="J28" i="217"/>
  <c r="H29" i="217"/>
  <c r="M28" i="217"/>
  <c r="I28" i="217"/>
  <c r="M29" i="217"/>
  <c r="H30" i="217"/>
  <c r="K29" i="217"/>
  <c r="J29" i="217"/>
  <c r="I29" i="217"/>
  <c r="I30" i="217"/>
  <c r="H31" i="217"/>
  <c r="J30" i="217"/>
  <c r="M30" i="217"/>
  <c r="K30" i="217"/>
  <c r="I31" i="217"/>
  <c r="M31" i="217"/>
  <c r="H32" i="217"/>
  <c r="K31" i="217"/>
  <c r="J31" i="217"/>
  <c r="J32" i="217"/>
  <c r="M32" i="217"/>
  <c r="I32" i="217"/>
  <c r="K32" i="217"/>
  <c r="H34" i="217"/>
  <c r="I34" i="217"/>
  <c r="K34" i="217"/>
  <c r="M34" i="217"/>
  <c r="H36" i="217"/>
  <c r="J34" i="217"/>
  <c r="M36" i="217"/>
  <c r="H37" i="217"/>
  <c r="I36" i="217"/>
  <c r="J36" i="217"/>
  <c r="K36" i="217"/>
  <c r="J37" i="217"/>
  <c r="H38" i="217"/>
  <c r="M37" i="217"/>
  <c r="K37" i="217"/>
  <c r="I37" i="217"/>
  <c r="I38" i="217"/>
  <c r="M38" i="217"/>
  <c r="J38" i="217"/>
  <c r="H39" i="217"/>
  <c r="K38" i="217"/>
  <c r="K39" i="217"/>
  <c r="J39" i="217"/>
  <c r="M39" i="217"/>
  <c r="I39" i="217"/>
  <c r="F37" i="217" l="1"/>
  <c r="F36" i="217"/>
  <c r="F38" i="217"/>
  <c r="K21" i="217"/>
  <c r="F39" i="217"/>
  <c r="L29" i="217"/>
  <c r="M44" i="217"/>
  <c r="L41" i="217"/>
  <c r="L24" i="217"/>
  <c r="L28" i="217"/>
  <c r="L26" i="217"/>
  <c r="L44" i="217"/>
  <c r="L31" i="217"/>
  <c r="L25" i="217"/>
  <c r="M42" i="217"/>
  <c r="H46" i="217"/>
  <c r="M46" i="217" s="1"/>
  <c r="L46" i="217"/>
  <c r="L45" i="217"/>
  <c r="L36" i="217"/>
  <c r="P41" i="217"/>
  <c r="L43" i="217"/>
  <c r="H54" i="217"/>
  <c r="K54" i="217" s="1"/>
  <c r="L34" i="217"/>
  <c r="L32" i="217"/>
  <c r="M25" i="217"/>
  <c r="K46" i="217"/>
  <c r="L30" i="217"/>
  <c r="K44" i="217"/>
  <c r="L42" i="217"/>
  <c r="P43" i="217"/>
  <c r="J43" i="217"/>
  <c r="O42" i="217"/>
  <c r="P42" i="217" s="1"/>
  <c r="O45" i="217"/>
  <c r="L39" i="217"/>
  <c r="M54" i="217"/>
  <c r="L27" i="217"/>
  <c r="J54" i="217"/>
  <c r="M41" i="217"/>
  <c r="L37" i="217"/>
  <c r="J42" i="217"/>
  <c r="P44" i="217"/>
  <c r="L38" i="217"/>
  <c r="L54" i="217"/>
  <c r="O46" i="217"/>
  <c r="G54" i="217" l="1"/>
  <c r="Q42" i="217"/>
  <c r="Q44" i="217"/>
  <c r="J46" i="217"/>
  <c r="Q41" i="217"/>
  <c r="R42" i="217"/>
  <c r="Q43" i="217"/>
  <c r="P45" i="217"/>
  <c r="P46" i="217"/>
  <c r="J43" i="199" l="1"/>
  <c r="H43" i="199"/>
  <c r="I43" i="199" s="1"/>
  <c r="J42" i="199"/>
  <c r="H42" i="199"/>
  <c r="I42" i="199" s="1"/>
  <c r="H41" i="199"/>
  <c r="I41" i="199" s="1"/>
  <c r="H30" i="199"/>
  <c r="L27" i="199"/>
  <c r="H27" i="199"/>
  <c r="I27" i="199" s="1"/>
  <c r="L26" i="199"/>
  <c r="H26" i="199"/>
  <c r="I26" i="199" s="1"/>
  <c r="H25" i="199"/>
  <c r="I25" i="199" s="1"/>
  <c r="L24" i="199"/>
  <c r="H24" i="199"/>
  <c r="I24" i="199" s="1"/>
  <c r="L23" i="199"/>
  <c r="H23" i="199"/>
  <c r="I23" i="199" s="1"/>
  <c r="H22" i="199"/>
  <c r="I22" i="199" s="1"/>
  <c r="H21" i="199"/>
  <c r="I21" i="199" s="1"/>
  <c r="H20" i="199"/>
  <c r="I20" i="199" s="1"/>
  <c r="H19" i="199"/>
  <c r="N19" i="199" s="1"/>
  <c r="L21" i="199"/>
  <c r="L20" i="199"/>
  <c r="N20" i="199" s="1"/>
  <c r="L18" i="199"/>
  <c r="N18" i="199" s="1"/>
  <c r="L17" i="199"/>
  <c r="N17" i="199" s="1"/>
  <c r="I18" i="199"/>
  <c r="I17" i="199"/>
  <c r="I16" i="199"/>
  <c r="N16" i="199"/>
  <c r="B18" i="199"/>
  <c r="C49" i="199" s="1"/>
  <c r="B2" i="199"/>
  <c r="R41" i="217"/>
  <c r="R43" i="217"/>
  <c r="R44" i="217"/>
  <c r="S42" i="217"/>
  <c r="Q45" i="217"/>
  <c r="Q46" i="217"/>
  <c r="C50" i="199" l="1"/>
  <c r="I37" i="199"/>
  <c r="N23" i="199"/>
  <c r="C46" i="199"/>
  <c r="C47" i="199"/>
  <c r="C48" i="199"/>
  <c r="N27" i="199"/>
  <c r="N25" i="199"/>
  <c r="N26" i="199"/>
  <c r="N24" i="199"/>
  <c r="N22" i="199"/>
  <c r="N21" i="199"/>
  <c r="I19" i="199"/>
  <c r="S44" i="217"/>
  <c r="T42" i="217"/>
  <c r="S41" i="217"/>
  <c r="R46" i="217"/>
  <c r="R45" i="217"/>
  <c r="S43" i="217"/>
  <c r="T43" i="217" s="1"/>
  <c r="S45" i="217"/>
  <c r="G42" i="217" l="1"/>
  <c r="G50" i="217" s="1"/>
  <c r="G43" i="217"/>
  <c r="G51" i="217" s="1"/>
  <c r="D57" i="197"/>
  <c r="K18" i="199"/>
  <c r="K17" i="199"/>
  <c r="K16" i="199"/>
  <c r="K22" i="199"/>
  <c r="B20" i="199"/>
  <c r="L37" i="199"/>
  <c r="K20" i="199"/>
  <c r="T41" i="217"/>
  <c r="K27" i="199"/>
  <c r="K25" i="199"/>
  <c r="B19" i="199"/>
  <c r="S46" i="217"/>
  <c r="K26" i="199"/>
  <c r="K21" i="199"/>
  <c r="K24" i="199"/>
  <c r="T44" i="217"/>
  <c r="K19" i="199"/>
  <c r="K23" i="199"/>
  <c r="H50" i="217"/>
  <c r="M50" i="217"/>
  <c r="H51" i="217"/>
  <c r="J51" i="217"/>
  <c r="T45" i="217"/>
  <c r="L50" i="217"/>
  <c r="K50" i="217"/>
  <c r="J50" i="217"/>
  <c r="I50" i="217"/>
  <c r="I51" i="217"/>
  <c r="M51" i="217"/>
  <c r="K51" i="217"/>
  <c r="L51" i="217"/>
  <c r="G44" i="217" l="1"/>
  <c r="G52" i="217" s="1"/>
  <c r="G45" i="217"/>
  <c r="G53" i="217" s="1"/>
  <c r="G41" i="217"/>
  <c r="G49" i="217" s="1"/>
  <c r="J18" i="199"/>
  <c r="J20" i="199"/>
  <c r="J24" i="199"/>
  <c r="N37" i="199"/>
  <c r="J26" i="199"/>
  <c r="J21" i="199"/>
  <c r="J27" i="199"/>
  <c r="J23" i="199"/>
  <c r="J16" i="199"/>
  <c r="J17" i="199"/>
  <c r="K42" i="199"/>
  <c r="K41" i="199"/>
  <c r="K43" i="199"/>
  <c r="J19" i="199"/>
  <c r="J22" i="199"/>
  <c r="J25" i="199"/>
  <c r="D21" i="199"/>
  <c r="M27" i="199"/>
  <c r="D22" i="199"/>
  <c r="D19" i="199"/>
  <c r="H53" i="217"/>
  <c r="J53" i="217" s="1"/>
  <c r="M21" i="199"/>
  <c r="M24" i="199"/>
  <c r="D43" i="199"/>
  <c r="M16" i="199"/>
  <c r="L53" i="217"/>
  <c r="D27" i="199"/>
  <c r="M42" i="199"/>
  <c r="D42" i="199"/>
  <c r="D18" i="199"/>
  <c r="M20" i="199"/>
  <c r="M53" i="217"/>
  <c r="D23" i="199"/>
  <c r="D25" i="199"/>
  <c r="M43" i="199"/>
  <c r="D20" i="199"/>
  <c r="L41" i="199"/>
  <c r="D16" i="199"/>
  <c r="M18" i="199"/>
  <c r="D17" i="199"/>
  <c r="M23" i="199"/>
  <c r="K37" i="199"/>
  <c r="M19" i="199"/>
  <c r="D26" i="199"/>
  <c r="H52" i="217"/>
  <c r="T46" i="217"/>
  <c r="M26" i="199"/>
  <c r="L43" i="199"/>
  <c r="M22" i="199"/>
  <c r="K53" i="217"/>
  <c r="D41" i="199"/>
  <c r="D24" i="199"/>
  <c r="M41" i="199"/>
  <c r="L42" i="199"/>
  <c r="I53" i="217"/>
  <c r="H49" i="217"/>
  <c r="M17" i="199"/>
  <c r="M25" i="199"/>
  <c r="M52" i="217"/>
  <c r="J52" i="217"/>
  <c r="I52" i="217"/>
  <c r="L52" i="217"/>
  <c r="K52" i="217"/>
  <c r="L49" i="217"/>
  <c r="J49" i="217"/>
  <c r="K49" i="217"/>
  <c r="M49" i="217"/>
  <c r="I49" i="217"/>
  <c r="C16" i="199" l="1"/>
  <c r="J37" i="199"/>
  <c r="C41" i="199"/>
  <c r="N41" i="199"/>
  <c r="C42" i="199"/>
  <c r="N42" i="199"/>
  <c r="C43" i="199"/>
  <c r="N43" i="199"/>
  <c r="F24" i="199"/>
  <c r="D37" i="199"/>
  <c r="F19" i="199"/>
  <c r="E42" i="199"/>
  <c r="E43" i="199"/>
  <c r="F16" i="199"/>
  <c r="F43" i="199"/>
  <c r="E21" i="199"/>
  <c r="F20" i="199"/>
  <c r="E27" i="199"/>
  <c r="F27" i="199"/>
  <c r="E25" i="199"/>
  <c r="E18" i="199"/>
  <c r="E17" i="199"/>
  <c r="E16" i="199"/>
  <c r="E26" i="199"/>
  <c r="E24" i="199"/>
  <c r="E19" i="199"/>
  <c r="E20" i="199"/>
  <c r="F41" i="199"/>
  <c r="F26" i="199"/>
  <c r="E22" i="199"/>
  <c r="M37" i="199"/>
  <c r="F25" i="199"/>
  <c r="F17" i="199"/>
  <c r="F22" i="199"/>
  <c r="F23" i="199"/>
  <c r="E41" i="199"/>
  <c r="F42" i="199"/>
  <c r="E23" i="199"/>
  <c r="F18" i="199"/>
  <c r="F21" i="199"/>
  <c r="C37" i="199" l="1"/>
  <c r="E37" i="199"/>
  <c r="F37" i="199"/>
</calcChain>
</file>

<file path=xl/sharedStrings.xml><?xml version="1.0" encoding="utf-8"?>
<sst xmlns="http://schemas.openxmlformats.org/spreadsheetml/2006/main" count="463" uniqueCount="379">
  <si>
    <t>μm</t>
    <phoneticPr fontId="18"/>
  </si>
  <si>
    <t>mm</t>
    <phoneticPr fontId="18"/>
  </si>
  <si>
    <t>Au</t>
    <phoneticPr fontId="18"/>
  </si>
  <si>
    <t>Kapton</t>
    <phoneticPr fontId="18"/>
  </si>
  <si>
    <t>秤量</t>
  </si>
  <si>
    <t>採用</t>
    <rPh sb="0" eb="2">
      <t>サイヨウ</t>
    </rPh>
    <phoneticPr fontId="18"/>
  </si>
  <si>
    <t>遮光Al</t>
    <rPh sb="0" eb="2">
      <t>シャコウ</t>
    </rPh>
    <phoneticPr fontId="18"/>
  </si>
  <si>
    <t>空乏層</t>
    <rPh sb="0" eb="3">
      <t>クウボウソウ</t>
    </rPh>
    <phoneticPr fontId="18"/>
  </si>
  <si>
    <t>公称</t>
    <rPh sb="0" eb="2">
      <t>コウショウ</t>
    </rPh>
    <phoneticPr fontId="18"/>
  </si>
  <si>
    <t>PL.mylar</t>
    <phoneticPr fontId="18"/>
  </si>
  <si>
    <t>Mon系</t>
    <rPh sb="3" eb="4">
      <t>ケイ</t>
    </rPh>
    <phoneticPr fontId="18"/>
  </si>
  <si>
    <t>Edeg</t>
    <phoneticPr fontId="18"/>
  </si>
  <si>
    <t>秤量・公称</t>
    <rPh sb="0" eb="2">
      <t>ヒョウリョウ</t>
    </rPh>
    <rPh sb="3" eb="5">
      <t>コウショウ</t>
    </rPh>
    <phoneticPr fontId="18"/>
  </si>
  <si>
    <t>公称・秤量</t>
    <rPh sb="0" eb="2">
      <t>コウショウ</t>
    </rPh>
    <rPh sb="3" eb="5">
      <t>ヒョウリョウ</t>
    </rPh>
    <phoneticPr fontId="18"/>
  </si>
  <si>
    <t>10.10～10.33</t>
  </si>
  <si>
    <t>(名前定義)</t>
    <rPh sb="1" eb="3">
      <t>ナマエ</t>
    </rPh>
    <rPh sb="3" eb="5">
      <t>テイギ</t>
    </rPh>
    <phoneticPr fontId="18"/>
  </si>
  <si>
    <t>実験共通パラメータ・ワークシート</t>
    <rPh sb="0" eb="2">
      <t>ジッケン</t>
    </rPh>
    <rPh sb="2" eb="4">
      <t>キョウツウ</t>
    </rPh>
    <phoneticPr fontId="18"/>
  </si>
  <si>
    <t>BeamE</t>
  </si>
  <si>
    <t>ExpR</t>
  </si>
  <si>
    <t>ICs_Mylar</t>
  </si>
  <si>
    <t>ICs_Th</t>
  </si>
  <si>
    <t>ssdA_Al</t>
  </si>
  <si>
    <t>ssdA1_d1</t>
  </si>
  <si>
    <t>ssdA1_d2</t>
  </si>
  <si>
    <t>=params!$D$48</t>
  </si>
  <si>
    <t>ssdA1_Ea</t>
  </si>
  <si>
    <t>ssdA1_Eb</t>
  </si>
  <si>
    <t>ssdA1_Th</t>
  </si>
  <si>
    <t>=params!$D$47</t>
  </si>
  <si>
    <t>ssdA2_d1</t>
  </si>
  <si>
    <t>ssdA2_d2</t>
  </si>
  <si>
    <t>ssdA2_Ea</t>
  </si>
  <si>
    <t>ssdA2_Eb</t>
  </si>
  <si>
    <t>ssdA2_Th</t>
  </si>
  <si>
    <t>ssdB_Al</t>
  </si>
  <si>
    <t>ssdB1_d1</t>
  </si>
  <si>
    <t>ssdB1_d2</t>
  </si>
  <si>
    <t>=params!$D$59</t>
  </si>
  <si>
    <t>ssdB1_Ea</t>
  </si>
  <si>
    <t>ssdB1_Eb</t>
  </si>
  <si>
    <t>ssdB1_Th</t>
  </si>
  <si>
    <t>=params!$D$58</t>
  </si>
  <si>
    <t>ssdB2_d1</t>
  </si>
  <si>
    <t>ssdB2_d2</t>
  </si>
  <si>
    <t>ssdB2_Ea</t>
  </si>
  <si>
    <t>Air1</t>
    <phoneticPr fontId="18"/>
  </si>
  <si>
    <t>Kap～Edeg出口</t>
    <rPh sb="8" eb="10">
      <t>デグチ</t>
    </rPh>
    <phoneticPr fontId="18"/>
  </si>
  <si>
    <t>ssdB2_Eb</t>
  </si>
  <si>
    <t>ThAir2</t>
    <phoneticPr fontId="18"/>
  </si>
  <si>
    <t>Edeg出口～SSD</t>
    <rPh sb="4" eb="6">
      <t>デグチ</t>
    </rPh>
    <phoneticPr fontId="18"/>
  </si>
  <si>
    <t>ssdB2_Th</t>
  </si>
  <si>
    <t>ThAir1</t>
  </si>
  <si>
    <t>ThAir2</t>
  </si>
  <si>
    <t>=params!$D$37</t>
  </si>
  <si>
    <t>電極Al.Mylar [μm]</t>
    <rPh sb="0" eb="2">
      <t>デンキョク</t>
    </rPh>
    <phoneticPr fontId="18"/>
  </si>
  <si>
    <t>ThAu</t>
  </si>
  <si>
    <t>空気層 [mm]</t>
    <rPh sb="0" eb="2">
      <t>クウキ</t>
    </rPh>
    <rPh sb="2" eb="3">
      <t>ソウ</t>
    </rPh>
    <phoneticPr fontId="18"/>
  </si>
  <si>
    <t>ThEDtbl</t>
  </si>
  <si>
    <t>ThICmylar</t>
  </si>
  <si>
    <t>=params!$D$32</t>
  </si>
  <si>
    <t>ThKapton</t>
  </si>
  <si>
    <t>=params!$D$31</t>
  </si>
  <si>
    <t>ThPL</t>
  </si>
  <si>
    <t>ThPLmylar</t>
  </si>
  <si>
    <t>=params!$D$33</t>
  </si>
  <si>
    <t>WBtitle</t>
  </si>
  <si>
    <t>=params!$D$2</t>
  </si>
  <si>
    <t>IC2</t>
    <phoneticPr fontId="18"/>
  </si>
  <si>
    <t>IC1.mylar</t>
    <phoneticPr fontId="18"/>
  </si>
  <si>
    <t>※このシートの名前定義のスコープは「ブック」全体にしてある。</t>
    <rPh sb="7" eb="9">
      <t>ナマエ</t>
    </rPh>
    <rPh sb="9" eb="11">
      <t>テイギ</t>
    </rPh>
    <rPh sb="22" eb="24">
      <t>ゼンタイ</t>
    </rPh>
    <phoneticPr fontId="18"/>
  </si>
  <si>
    <t>数式で使用：名前の貼付け：リスト貼り付け</t>
    <rPh sb="0" eb="2">
      <t>スウシキ</t>
    </rPh>
    <rPh sb="3" eb="5">
      <t>シヨウ</t>
    </rPh>
    <rPh sb="6" eb="8">
      <t>ナマエ</t>
    </rPh>
    <rPh sb="9" eb="11">
      <t>ハリツ</t>
    </rPh>
    <rPh sb="16" eb="17">
      <t>ハ</t>
    </rPh>
    <rPh sb="18" eb="19">
      <t>ツ</t>
    </rPh>
    <phoneticPr fontId="18"/>
  </si>
  <si>
    <t>AirP</t>
  </si>
  <si>
    <t>AirT</t>
  </si>
  <si>
    <t>BeamWS</t>
  </si>
  <si>
    <t>=params!$D$42</t>
  </si>
  <si>
    <t>=params!$D$44</t>
  </si>
  <si>
    <t>=params!$D$43</t>
  </si>
  <si>
    <t>Beam</t>
    <phoneticPr fontId="18"/>
  </si>
  <si>
    <t>PL.EJ212</t>
    <phoneticPr fontId="18"/>
  </si>
  <si>
    <t>=params!$D$53</t>
  </si>
  <si>
    <t>=params!$D$55</t>
  </si>
  <si>
    <t>Air2</t>
    <phoneticPr fontId="18"/>
  </si>
  <si>
    <t>avr気温</t>
    <rPh sb="3" eb="5">
      <t>キオン</t>
    </rPh>
    <phoneticPr fontId="18"/>
  </si>
  <si>
    <t>℃</t>
    <phoneticPr fontId="18"/>
  </si>
  <si>
    <t>=params!$D$54</t>
  </si>
  <si>
    <t>avr気圧</t>
    <rPh sb="3" eb="4">
      <t>キ</t>
    </rPh>
    <rPh sb="4" eb="5">
      <t>アツ</t>
    </rPh>
    <phoneticPr fontId="18"/>
  </si>
  <si>
    <t>hPa</t>
    <phoneticPr fontId="18"/>
  </si>
  <si>
    <t>=params!$D$24</t>
  </si>
  <si>
    <t>=params!$D$9:$D$20</t>
  </si>
  <si>
    <t>=params!$D$26</t>
  </si>
  <si>
    <t>=params!$D$25</t>
  </si>
  <si>
    <t>=params!$D$28</t>
  </si>
  <si>
    <t>=params!$D$27</t>
  </si>
  <si>
    <t>Al</t>
    <phoneticPr fontId="18"/>
  </si>
  <si>
    <t>40Ar</t>
    <phoneticPr fontId="18"/>
  </si>
  <si>
    <t>maxLET</t>
    <phoneticPr fontId="18"/>
  </si>
  <si>
    <t>Air</t>
    <phoneticPr fontId="18"/>
  </si>
  <si>
    <t>84Kr</t>
    <phoneticPr fontId="18"/>
  </si>
  <si>
    <t>Matr1</t>
    <phoneticPr fontId="18"/>
  </si>
  <si>
    <t>Matr2</t>
    <phoneticPr fontId="18"/>
  </si>
  <si>
    <t>Si</t>
    <phoneticPr fontId="18"/>
  </si>
  <si>
    <t>ExpR推定</t>
    <rPh sb="4" eb="6">
      <t>スイテイ</t>
    </rPh>
    <phoneticPr fontId="18"/>
  </si>
  <si>
    <t>Mylar</t>
    <phoneticPr fontId="18"/>
  </si>
  <si>
    <t>EJ212</t>
    <phoneticPr fontId="18"/>
  </si>
  <si>
    <t>Matr3</t>
    <phoneticPr fontId="18"/>
  </si>
  <si>
    <t>Matr4</t>
    <phoneticPr fontId="18"/>
  </si>
  <si>
    <t>Matr5</t>
    <phoneticPr fontId="18"/>
  </si>
  <si>
    <t>Matr6</t>
    <phoneticPr fontId="18"/>
  </si>
  <si>
    <t>MatrG</t>
    <phoneticPr fontId="18"/>
  </si>
  <si>
    <t>WSnam</t>
    <phoneticPr fontId="18"/>
  </si>
  <si>
    <t>μm</t>
  </si>
  <si>
    <t>BeamE</t>
    <phoneticPr fontId="18"/>
  </si>
  <si>
    <t>MeV/u</t>
    <phoneticPr fontId="18"/>
  </si>
  <si>
    <t>LET</t>
    <phoneticPr fontId="18"/>
  </si>
  <si>
    <t>in Si</t>
    <phoneticPr fontId="18"/>
  </si>
  <si>
    <t>in air</t>
    <phoneticPr fontId="18"/>
  </si>
  <si>
    <t>R Al</t>
    <phoneticPr fontId="18"/>
  </si>
  <si>
    <t>R air</t>
    <phoneticPr fontId="18"/>
  </si>
  <si>
    <t>E</t>
    <phoneticPr fontId="18"/>
  </si>
  <si>
    <t>　aft Au</t>
    <phoneticPr fontId="18"/>
  </si>
  <si>
    <t>　aft Kap</t>
    <phoneticPr fontId="18"/>
  </si>
  <si>
    <t>　aft Air1</t>
    <phoneticPr fontId="18"/>
  </si>
  <si>
    <t>※でも各計算シートでは、これらの名前を参照する表を作り、その参照表に基づいて</t>
    <rPh sb="3" eb="4">
      <t>カク</t>
    </rPh>
    <rPh sb="4" eb="6">
      <t>ケイサン</t>
    </rPh>
    <rPh sb="16" eb="18">
      <t>ナマエ</t>
    </rPh>
    <rPh sb="19" eb="21">
      <t>サンショウ</t>
    </rPh>
    <rPh sb="23" eb="24">
      <t>ヒョウ</t>
    </rPh>
    <rPh sb="25" eb="26">
      <t>ツク</t>
    </rPh>
    <rPh sb="30" eb="32">
      <t>サンショウ</t>
    </rPh>
    <rPh sb="32" eb="33">
      <t>ヒョウ</t>
    </rPh>
    <rPh sb="34" eb="35">
      <t>モト</t>
    </rPh>
    <phoneticPr fontId="18"/>
  </si>
  <si>
    <t>　ローカルな計算をする事。計算シートのコピペ時に、名前定義が正しく参照されるように。</t>
    <rPh sb="6" eb="8">
      <t>ケイサン</t>
    </rPh>
    <rPh sb="11" eb="12">
      <t>コト</t>
    </rPh>
    <rPh sb="13" eb="15">
      <t>ケイサン</t>
    </rPh>
    <rPh sb="22" eb="23">
      <t>ジ</t>
    </rPh>
    <rPh sb="25" eb="27">
      <t>ナマエ</t>
    </rPh>
    <rPh sb="27" eb="29">
      <t>テイギ</t>
    </rPh>
    <rPh sb="30" eb="31">
      <t>タダ</t>
    </rPh>
    <rPh sb="33" eb="35">
      <t>サンショウ</t>
    </rPh>
    <phoneticPr fontId="18"/>
  </si>
  <si>
    <t>AirP_Ar</t>
  </si>
  <si>
    <t>=params!$G$33</t>
  </si>
  <si>
    <t>AirP_Kr</t>
  </si>
  <si>
    <t>=params!$H$33</t>
  </si>
  <si>
    <t>AirT_Ar</t>
  </si>
  <si>
    <t>AirT_Kr</t>
  </si>
  <si>
    <t>BeamE_Ar</t>
  </si>
  <si>
    <t>BeamE_Kr</t>
  </si>
  <si>
    <t>=params!$D$64</t>
  </si>
  <si>
    <t>ExpR_Ar</t>
  </si>
  <si>
    <t>ExpR_Kr</t>
  </si>
  <si>
    <t>=params!$D$73</t>
  </si>
  <si>
    <t>=params!$D$76</t>
  </si>
  <si>
    <t>=params!$D$79</t>
  </si>
  <si>
    <t>メノコfit 結果</t>
    <rPh sb="7" eb="9">
      <t>ケッカ</t>
    </rPh>
    <phoneticPr fontId="18"/>
  </si>
  <si>
    <t>=params!$D$82</t>
  </si>
  <si>
    <t>ThAu_Ar</t>
  </si>
  <si>
    <t>=params!$G$24</t>
  </si>
  <si>
    <t>ThAu_Kr</t>
  </si>
  <si>
    <t>=params!$H$24</t>
  </si>
  <si>
    <t>dead12</t>
    <phoneticPr fontId="18"/>
  </si>
  <si>
    <t>WBtitle</t>
    <phoneticPr fontId="18"/>
  </si>
  <si>
    <t>Deg#</t>
    <phoneticPr fontId="18"/>
  </si>
  <si>
    <t>ThEDtbl</t>
    <phoneticPr fontId="18"/>
  </si>
  <si>
    <t>A</t>
    <phoneticPr fontId="18"/>
  </si>
  <si>
    <t>B</t>
    <phoneticPr fontId="18"/>
  </si>
  <si>
    <t>C</t>
    <phoneticPr fontId="18"/>
  </si>
  <si>
    <t>Beam</t>
    <phoneticPr fontId="18"/>
  </si>
  <si>
    <t>μm</t>
    <phoneticPr fontId="18"/>
  </si>
  <si>
    <t>ThAu</t>
    <phoneticPr fontId="18"/>
  </si>
  <si>
    <t>Au</t>
    <phoneticPr fontId="18"/>
  </si>
  <si>
    <t>ThKapton</t>
    <phoneticPr fontId="18"/>
  </si>
  <si>
    <t>Kapton</t>
    <phoneticPr fontId="18"/>
  </si>
  <si>
    <t>ThICmylar</t>
    <phoneticPr fontId="18"/>
  </si>
  <si>
    <t>IC1.mylar</t>
    <phoneticPr fontId="18"/>
  </si>
  <si>
    <t>ThPLmylar</t>
    <phoneticPr fontId="18"/>
  </si>
  <si>
    <t>ThPL</t>
    <phoneticPr fontId="18"/>
  </si>
  <si>
    <t>PL.EJ212</t>
    <phoneticPr fontId="18"/>
  </si>
  <si>
    <t>mm</t>
    <phoneticPr fontId="18"/>
  </si>
  <si>
    <t>ThAir1</t>
    <phoneticPr fontId="18"/>
  </si>
  <si>
    <t>Air1</t>
    <phoneticPr fontId="18"/>
  </si>
  <si>
    <t>Air2</t>
    <phoneticPr fontId="18"/>
  </si>
  <si>
    <t>AirT</t>
    <phoneticPr fontId="18"/>
  </si>
  <si>
    <t>℃</t>
    <phoneticPr fontId="18"/>
  </si>
  <si>
    <t>AirP</t>
    <phoneticPr fontId="18"/>
  </si>
  <si>
    <t>hPa</t>
    <phoneticPr fontId="18"/>
  </si>
  <si>
    <t>ICs_Mylar</t>
    <phoneticPr fontId="18"/>
  </si>
  <si>
    <t>ICs_Th</t>
    <phoneticPr fontId="18"/>
  </si>
  <si>
    <t>2mm</t>
    <phoneticPr fontId="18"/>
  </si>
  <si>
    <t>ssdA12</t>
    <phoneticPr fontId="18"/>
  </si>
  <si>
    <t>ssdA_Al</t>
    <phoneticPr fontId="18"/>
  </si>
  <si>
    <t>ssdA1_d1</t>
    <phoneticPr fontId="18"/>
  </si>
  <si>
    <t>dead11</t>
    <phoneticPr fontId="18"/>
  </si>
  <si>
    <t>??</t>
    <phoneticPr fontId="18"/>
  </si>
  <si>
    <t>＋10</t>
    <phoneticPr fontId="18"/>
  </si>
  <si>
    <t>ssdA1_Th</t>
    <phoneticPr fontId="18"/>
  </si>
  <si>
    <t>±10</t>
    <phoneticPr fontId="18"/>
  </si>
  <si>
    <t>ssdA1_d2</t>
    <phoneticPr fontId="18"/>
  </si>
  <si>
    <t>dead12</t>
    <phoneticPr fontId="18"/>
  </si>
  <si>
    <t>SSD2</t>
    <phoneticPr fontId="18"/>
  </si>
  <si>
    <t>ssdA2_d1</t>
    <phoneticPr fontId="18"/>
  </si>
  <si>
    <t>dead21</t>
    <phoneticPr fontId="18"/>
  </si>
  <si>
    <t>－10</t>
    <phoneticPr fontId="18"/>
  </si>
  <si>
    <t>ssdA2_Th</t>
    <phoneticPr fontId="18"/>
  </si>
  <si>
    <t>±20</t>
    <phoneticPr fontId="18"/>
  </si>
  <si>
    <t>ssdA2_d2</t>
    <phoneticPr fontId="18"/>
  </si>
  <si>
    <t>dead22</t>
    <phoneticPr fontId="18"/>
  </si>
  <si>
    <t>ssdB12</t>
    <phoneticPr fontId="18"/>
  </si>
  <si>
    <t>ssdB_Al</t>
    <phoneticPr fontId="18"/>
  </si>
  <si>
    <t>ssdB1_d1</t>
    <phoneticPr fontId="18"/>
  </si>
  <si>
    <t>＋ 0</t>
    <phoneticPr fontId="18"/>
  </si>
  <si>
    <t>ssdB1_Th</t>
    <phoneticPr fontId="18"/>
  </si>
  <si>
    <t>±20</t>
    <phoneticPr fontId="18"/>
  </si>
  <si>
    <t>ssdB1_d2</t>
    <phoneticPr fontId="18"/>
  </si>
  <si>
    <t>ssdB2_d1</t>
    <phoneticPr fontId="18"/>
  </si>
  <si>
    <t>ssdB2_Th</t>
    <phoneticPr fontId="18"/>
  </si>
  <si>
    <t>&gt; 1550</t>
    <phoneticPr fontId="18"/>
  </si>
  <si>
    <t>ssdB2_d2</t>
    <phoneticPr fontId="18"/>
  </si>
  <si>
    <t>Beam</t>
    <phoneticPr fontId="18"/>
  </si>
  <si>
    <t>E [MeV/u]</t>
    <phoneticPr fontId="18"/>
  </si>
  <si>
    <t>BeamWS</t>
    <phoneticPr fontId="18"/>
  </si>
  <si>
    <t>WS_header</t>
    <phoneticPr fontId="18"/>
  </si>
  <si>
    <t>Range</t>
    <phoneticPr fontId="18"/>
  </si>
  <si>
    <t>Anal.</t>
    <phoneticPr fontId="18"/>
  </si>
  <si>
    <t>ExpR</t>
    <phoneticPr fontId="18"/>
  </si>
  <si>
    <t>ssd Ecalib</t>
    <phoneticPr fontId="18"/>
  </si>
  <si>
    <t>ssdA1</t>
    <phoneticPr fontId="18"/>
  </si>
  <si>
    <t>ssdA1_Ea</t>
    <phoneticPr fontId="18"/>
  </si>
  <si>
    <t>MeV/ch</t>
    <phoneticPr fontId="18"/>
  </si>
  <si>
    <t>ssdA1_Eb</t>
    <phoneticPr fontId="18"/>
  </si>
  <si>
    <t>Zero [ch]</t>
    <phoneticPr fontId="18"/>
  </si>
  <si>
    <t>ssdA2</t>
    <phoneticPr fontId="18"/>
  </si>
  <si>
    <t>ssdA2_Ea</t>
    <phoneticPr fontId="18"/>
  </si>
  <si>
    <t>ssdA2_Eb</t>
    <phoneticPr fontId="18"/>
  </si>
  <si>
    <t>Zero [ch]</t>
    <phoneticPr fontId="18"/>
  </si>
  <si>
    <t>ssdB1</t>
    <phoneticPr fontId="18"/>
  </si>
  <si>
    <t>ssdB1_Ea</t>
    <phoneticPr fontId="18"/>
  </si>
  <si>
    <t>ssdB1_Eb</t>
    <phoneticPr fontId="18"/>
  </si>
  <si>
    <t>ssdB2</t>
    <phoneticPr fontId="18"/>
  </si>
  <si>
    <t>ssdB2_Ea</t>
    <phoneticPr fontId="18"/>
  </si>
  <si>
    <t>ssdB2_Eb</t>
    <phoneticPr fontId="18"/>
  </si>
  <si>
    <t>EDeg出口まで</t>
    <rPh sb="4" eb="6">
      <t>デグチ</t>
    </rPh>
    <phoneticPr fontId="18"/>
  </si>
  <si>
    <t>Ebm公称</t>
    <rPh sb="3" eb="5">
      <t>コウショウ</t>
    </rPh>
    <phoneticPr fontId="18"/>
  </si>
  <si>
    <t>⊿ExpR</t>
    <phoneticPr fontId="18"/>
  </si>
  <si>
    <r>
      <rPr>
        <sz val="10"/>
        <color rgb="FFFF0000"/>
        <rFont val="ＭＳ Ｐゴシック"/>
        <family val="3"/>
        <charset val="128"/>
        <scheme val="minor"/>
      </rPr>
      <t>ExpR</t>
    </r>
    <r>
      <rPr>
        <sz val="10"/>
        <color theme="1"/>
        <rFont val="ＭＳ Ｐゴシック"/>
        <family val="3"/>
        <charset val="128"/>
        <scheme val="minor"/>
      </rPr>
      <t>:実測</t>
    </r>
    <rPh sb="5" eb="7">
      <t>ジッソク</t>
    </rPh>
    <phoneticPr fontId="18"/>
  </si>
  <si>
    <t>LET調整 1</t>
    <rPh sb="3" eb="5">
      <t>チョウセイ</t>
    </rPh>
    <phoneticPr fontId="18"/>
  </si>
  <si>
    <t>LET調整 2</t>
    <rPh sb="3" eb="5">
      <t>チョウセイ</t>
    </rPh>
    <phoneticPr fontId="18"/>
  </si>
  <si>
    <t>LET調整 3</t>
    <rPh sb="3" eb="5">
      <t>チョウセイ</t>
    </rPh>
    <phoneticPr fontId="18"/>
  </si>
  <si>
    <t>EDeg</t>
    <phoneticPr fontId="18"/>
  </si>
  <si>
    <t>Alμm</t>
    <phoneticPr fontId="18"/>
  </si>
  <si>
    <t>　in  Vacc</t>
    <phoneticPr fontId="18"/>
  </si>
  <si>
    <t>40Ar</t>
    <phoneticPr fontId="18"/>
  </si>
  <si>
    <t>84Kr</t>
    <phoneticPr fontId="18"/>
  </si>
  <si>
    <t>LET調整 4</t>
    <rPh sb="3" eb="5">
      <t>チョウセイ</t>
    </rPh>
    <phoneticPr fontId="18"/>
  </si>
  <si>
    <t>エネルギー</t>
    <phoneticPr fontId="18"/>
  </si>
  <si>
    <t>(参考)</t>
    <rPh sb="1" eb="3">
      <t>サンコウ</t>
    </rPh>
    <phoneticPr fontId="18"/>
  </si>
  <si>
    <t>MeV</t>
    <phoneticPr fontId="18"/>
  </si>
  <si>
    <t>μm</t>
    <phoneticPr fontId="18"/>
  </si>
  <si>
    <t>飛程</t>
    <rPh sb="0" eb="2">
      <t>ヒテイ</t>
    </rPh>
    <phoneticPr fontId="18"/>
  </si>
  <si>
    <t>照射角度</t>
    <rPh sb="0" eb="2">
      <t>ショウシャ</t>
    </rPh>
    <rPh sb="2" eb="4">
      <t>カクド</t>
    </rPh>
    <phoneticPr fontId="18"/>
  </si>
  <si>
    <t>θ</t>
    <phoneticPr fontId="18"/>
  </si>
  <si>
    <t>感応領域深さ</t>
    <rPh sb="0" eb="2">
      <t>カンノウ</t>
    </rPh>
    <rPh sb="2" eb="4">
      <t>リョウイキ</t>
    </rPh>
    <rPh sb="4" eb="5">
      <t>フカ</t>
    </rPh>
    <phoneticPr fontId="18"/>
  </si>
  <si>
    <t>（角度換算）</t>
    <rPh sb="1" eb="3">
      <t>カクド</t>
    </rPh>
    <rPh sb="3" eb="5">
      <t>カンザン</t>
    </rPh>
    <phoneticPr fontId="18"/>
  </si>
  <si>
    <t>度</t>
    <phoneticPr fontId="18"/>
  </si>
  <si>
    <t>E0</t>
    <phoneticPr fontId="18"/>
  </si>
  <si>
    <t>E1</t>
    <phoneticPr fontId="18"/>
  </si>
  <si>
    <t>表面</t>
    <rPh sb="0" eb="2">
      <t>ヒョウメン</t>
    </rPh>
    <phoneticPr fontId="18"/>
  </si>
  <si>
    <t>感応領域位置で</t>
    <rPh sb="0" eb="2">
      <t>カンノウ</t>
    </rPh>
    <rPh sb="2" eb="4">
      <t>リョウイキ</t>
    </rPh>
    <rPh sb="4" eb="6">
      <t>イチ</t>
    </rPh>
    <phoneticPr fontId="18"/>
  </si>
  <si>
    <t>深さD</t>
    <rPh sb="0" eb="1">
      <t>フカ</t>
    </rPh>
    <phoneticPr fontId="18"/>
  </si>
  <si>
    <t>チップ表面で</t>
    <rPh sb="3" eb="5">
      <t>ヒョウメン</t>
    </rPh>
    <phoneticPr fontId="18"/>
  </si>
  <si>
    <t>ビーム設定希望値　</t>
    <phoneticPr fontId="18"/>
  </si>
  <si>
    <t>　(チップ表面からの深さ =</t>
    <phoneticPr fontId="18"/>
  </si>
  <si>
    <t>μm と仮定）</t>
    <rPh sb="4" eb="6">
      <t>カテイ</t>
    </rPh>
    <phoneticPr fontId="18"/>
  </si>
  <si>
    <t>WSname=</t>
    <phoneticPr fontId="18"/>
  </si>
  <si>
    <t>A.MeV</t>
    <phoneticPr fontId="18"/>
  </si>
  <si>
    <t>残りの飛程</t>
    <rPh sb="0" eb="1">
      <t>ノコ</t>
    </rPh>
    <rPh sb="3" eb="5">
      <t>ヒテイ</t>
    </rPh>
    <phoneticPr fontId="18"/>
  </si>
  <si>
    <t>R0(Si)</t>
    <phoneticPr fontId="18"/>
  </si>
  <si>
    <t>LET0（Si)</t>
    <phoneticPr fontId="18"/>
  </si>
  <si>
    <t>角度換算</t>
    <rPh sb="0" eb="2">
      <t>カクド</t>
    </rPh>
    <rPh sb="2" eb="4">
      <t>カンザン</t>
    </rPh>
    <phoneticPr fontId="18"/>
  </si>
  <si>
    <t>等価LET</t>
    <rPh sb="0" eb="2">
      <t>トウカ</t>
    </rPh>
    <phoneticPr fontId="18"/>
  </si>
  <si>
    <t>イオン</t>
    <phoneticPr fontId="18"/>
  </si>
  <si>
    <t>核種</t>
    <rPh sb="0" eb="2">
      <t>カクシュ</t>
    </rPh>
    <phoneticPr fontId="18"/>
  </si>
  <si>
    <t>照射</t>
    <rPh sb="0" eb="2">
      <t>ショウシャ</t>
    </rPh>
    <phoneticPr fontId="18"/>
  </si>
  <si>
    <r>
      <rPr>
        <b/>
        <sz val="11"/>
        <color rgb="FF0000FF"/>
        <rFont val="ＭＳ Ｐゴシック"/>
        <family val="3"/>
        <charset val="128"/>
        <scheme val="minor"/>
      </rPr>
      <t>青字</t>
    </r>
    <r>
      <rPr>
        <sz val="11"/>
        <color theme="1"/>
        <rFont val="ＭＳ Ｐゴシック"/>
        <family val="3"/>
        <charset val="128"/>
        <scheme val="minor"/>
      </rPr>
      <t>部分：　の数字を入力して下さい。</t>
    </r>
    <rPh sb="0" eb="1">
      <t>アオ</t>
    </rPh>
    <rPh sb="1" eb="2">
      <t>ジ</t>
    </rPh>
    <rPh sb="2" eb="4">
      <t>ブブン</t>
    </rPh>
    <rPh sb="7" eb="9">
      <t>スウジ</t>
    </rPh>
    <rPh sb="10" eb="12">
      <t>ニュウリョク</t>
    </rPh>
    <rPh sb="14" eb="15">
      <t>クダ</t>
    </rPh>
    <phoneticPr fontId="18"/>
  </si>
  <si>
    <t>[注１]</t>
    <rPh sb="1" eb="2">
      <t>チュウ</t>
    </rPh>
    <phoneticPr fontId="18"/>
  </si>
  <si>
    <t>[注2]</t>
    <rPh sb="1" eb="2">
      <t>チュウ</t>
    </rPh>
    <phoneticPr fontId="18"/>
  </si>
  <si>
    <t>LET①（Si)</t>
    <phoneticPr fontId="18"/>
  </si>
  <si>
    <t>LET②(Si)</t>
    <phoneticPr fontId="18"/>
  </si>
  <si>
    <t>(検算用）</t>
    <rPh sb="1" eb="4">
      <t>ケンザンヨウ</t>
    </rPh>
    <phoneticPr fontId="18"/>
  </si>
  <si>
    <t>E1 を指定した場合</t>
    <rPh sb="4" eb="6">
      <t>シテイ</t>
    </rPh>
    <rPh sb="8" eb="10">
      <t>バアイ</t>
    </rPh>
    <phoneticPr fontId="18"/>
  </si>
  <si>
    <t>(</t>
    <phoneticPr fontId="18"/>
  </si>
  <si>
    <t>/cosθ)　で表している。</t>
    <rPh sb="8" eb="9">
      <t>アラワ</t>
    </rPh>
    <phoneticPr fontId="18"/>
  </si>
  <si>
    <t>[注１]　</t>
    <rPh sb="1" eb="2">
      <t>チュウ</t>
    </rPh>
    <phoneticPr fontId="18"/>
  </si>
  <si>
    <t>[注２]　</t>
    <rPh sb="1" eb="2">
      <t>チュウ</t>
    </rPh>
    <phoneticPr fontId="18"/>
  </si>
  <si>
    <t>感応領域深さ(角度換算) D は、</t>
    <rPh sb="0" eb="2">
      <t>カンノウ</t>
    </rPh>
    <rPh sb="2" eb="4">
      <t>リョウイキ</t>
    </rPh>
    <rPh sb="4" eb="5">
      <t>フカ</t>
    </rPh>
    <rPh sb="7" eb="9">
      <t>カクド</t>
    </rPh>
    <rPh sb="9" eb="11">
      <t>カンザン</t>
    </rPh>
    <phoneticPr fontId="18"/>
  </si>
  <si>
    <t>角度換算 等価 LET②　は、</t>
    <rPh sb="0" eb="2">
      <t>カクド</t>
    </rPh>
    <rPh sb="2" eb="4">
      <t>カンザン</t>
    </rPh>
    <rPh sb="5" eb="7">
      <t>トウカ</t>
    </rPh>
    <phoneticPr fontId="18"/>
  </si>
  <si>
    <t>LET①</t>
    <phoneticPr fontId="18"/>
  </si>
  <si>
    <t>[注３]　</t>
    <rPh sb="1" eb="2">
      <t>チュウ</t>
    </rPh>
    <phoneticPr fontId="18"/>
  </si>
  <si>
    <t>その他のビーム条件</t>
    <rPh sb="2" eb="3">
      <t>ホカ</t>
    </rPh>
    <rPh sb="7" eb="9">
      <t>ジョウケン</t>
    </rPh>
    <phoneticPr fontId="18"/>
  </si>
  <si>
    <t>・ビーム径</t>
    <rPh sb="4" eb="5">
      <t>ケイ</t>
    </rPh>
    <phoneticPr fontId="18"/>
  </si>
  <si>
    <t>30mmφ</t>
    <phoneticPr fontId="18"/>
  </si>
  <si>
    <t>・フラックス</t>
    <phoneticPr fontId="18"/>
  </si>
  <si>
    <t>1E+1 ～ 1E+5 particle/(cm2/sec) 程度</t>
    <rPh sb="31" eb="33">
      <t>テイド</t>
    </rPh>
    <phoneticPr fontId="18"/>
  </si>
  <si>
    <t>[　表中の計算式　は、次の様に記述してあります　]　</t>
    <rPh sb="2" eb="3">
      <t>ヒョウ</t>
    </rPh>
    <rPh sb="3" eb="4">
      <t>チュウ</t>
    </rPh>
    <rPh sb="5" eb="7">
      <t>ケイサン</t>
    </rPh>
    <rPh sb="7" eb="8">
      <t>シキ</t>
    </rPh>
    <rPh sb="11" eb="12">
      <t>ツギ</t>
    </rPh>
    <rPh sb="13" eb="14">
      <t>ヨウ</t>
    </rPh>
    <rPh sb="15" eb="17">
      <t>キジュツ</t>
    </rPh>
    <phoneticPr fontId="18"/>
  </si>
  <si>
    <t>D0</t>
    <phoneticPr fontId="18"/>
  </si>
  <si>
    <t>D1</t>
    <phoneticPr fontId="18"/>
  </si>
  <si>
    <t>[　頂いた表と、数字が微妙に異なるので、検算してみました　]　</t>
    <rPh sb="2" eb="3">
      <t>イタダ</t>
    </rPh>
    <rPh sb="5" eb="6">
      <t>ヒョウ</t>
    </rPh>
    <rPh sb="8" eb="10">
      <t>スウジ</t>
    </rPh>
    <rPh sb="11" eb="13">
      <t>ビミョウ</t>
    </rPh>
    <rPh sb="14" eb="15">
      <t>コト</t>
    </rPh>
    <rPh sb="20" eb="22">
      <t>ケンザン</t>
    </rPh>
    <phoneticPr fontId="18"/>
  </si>
  <si>
    <t>[　因みに、深さ D0 で、LETmax にするには　]　</t>
    <rPh sb="2" eb="3">
      <t>チナ</t>
    </rPh>
    <rPh sb="6" eb="7">
      <t>フカ</t>
    </rPh>
    <phoneticPr fontId="18"/>
  </si>
  <si>
    <t>maxLET値</t>
    <rPh sb="6" eb="7">
      <t>チ</t>
    </rPh>
    <phoneticPr fontId="18"/>
  </si>
  <si>
    <t>θを指定</t>
    <rPh sb="2" eb="4">
      <t>シテイ</t>
    </rPh>
    <phoneticPr fontId="18"/>
  </si>
  <si>
    <t xml:space="preserve">srLETt2Eh() </t>
    <phoneticPr fontId="18"/>
  </si>
  <si>
    <t>使用している関数名</t>
    <rPh sb="0" eb="2">
      <t>シヨウ</t>
    </rPh>
    <rPh sb="6" eb="9">
      <t>カンスウメイ</t>
    </rPh>
    <phoneticPr fontId="18"/>
  </si>
  <si>
    <r>
      <t xml:space="preserve">&lt;- E1 から Thick=D 通過前の E0 を求む </t>
    </r>
    <r>
      <rPr>
        <b/>
        <sz val="11"/>
        <color theme="1"/>
        <rFont val="ＭＳ Ｐゴシック"/>
        <family val="3"/>
        <charset val="128"/>
        <scheme val="minor"/>
      </rPr>
      <t/>
    </r>
    <rPh sb="17" eb="19">
      <t>ツウカ</t>
    </rPh>
    <rPh sb="19" eb="20">
      <t>マエ</t>
    </rPh>
    <rPh sb="26" eb="27">
      <t>モト</t>
    </rPh>
    <phoneticPr fontId="18"/>
  </si>
  <si>
    <t xml:space="preserve">srEold() </t>
    <phoneticPr fontId="18"/>
  </si>
  <si>
    <r>
      <t>&lt;- LET から E に変換</t>
    </r>
    <r>
      <rPr>
        <b/>
        <sz val="11"/>
        <color theme="1"/>
        <rFont val="ＭＳ Ｐゴシック"/>
        <family val="3"/>
        <charset val="128"/>
        <scheme val="minor"/>
      </rPr>
      <t/>
    </r>
    <rPh sb="13" eb="15">
      <t>ヘンカン</t>
    </rPh>
    <phoneticPr fontId="18"/>
  </si>
  <si>
    <t>srE2LETt()</t>
  </si>
  <si>
    <t>&lt;- E[A.MeV] から LET に変換</t>
    <rPh sb="20" eb="22">
      <t>ヘンカン</t>
    </rPh>
    <phoneticPr fontId="18"/>
  </si>
  <si>
    <t>srE2Rng()</t>
  </si>
  <si>
    <t>&lt;- E[A.MeV] から Range に変換</t>
    <rPh sb="22" eb="24">
      <t>ヘンカン</t>
    </rPh>
    <phoneticPr fontId="18"/>
  </si>
  <si>
    <t>&lt;- max LET を表示</t>
    <rPh sb="12" eb="14">
      <t>ヒョウジ</t>
    </rPh>
    <phoneticPr fontId="18"/>
  </si>
  <si>
    <t>登録済核種= 40Ar, 84,86Kr, 129,132,136Xe, 181Ta, 197Au</t>
    <rPh sb="0" eb="2">
      <t>トウロク</t>
    </rPh>
    <rPh sb="2" eb="3">
      <t>スミ</t>
    </rPh>
    <rPh sb="3" eb="5">
      <t>カクシュ</t>
    </rPh>
    <phoneticPr fontId="18"/>
  </si>
  <si>
    <t>AirT 気温</t>
    <rPh sb="5" eb="7">
      <t>キオン</t>
    </rPh>
    <phoneticPr fontId="18"/>
  </si>
  <si>
    <t>AirP 気圧</t>
    <rPh sb="5" eb="7">
      <t>キアツ</t>
    </rPh>
    <phoneticPr fontId="18"/>
  </si>
  <si>
    <t>ThkStd</t>
    <phoneticPr fontId="18"/>
  </si>
  <si>
    <t>LET調整 5</t>
    <rPh sb="3" eb="5">
      <t>チョウセイ</t>
    </rPh>
    <phoneticPr fontId="18"/>
  </si>
  <si>
    <t>IC1.Al</t>
    <phoneticPr fontId="18"/>
  </si>
  <si>
    <t>%</t>
    <phoneticPr fontId="18"/>
  </si>
  <si>
    <t>　aft IC1-Al</t>
    <phoneticPr fontId="18"/>
  </si>
  <si>
    <t>　aft PL-EJ212</t>
    <phoneticPr fontId="18"/>
  </si>
  <si>
    <t>　aft IC1-Mylar</t>
    <phoneticPr fontId="18"/>
  </si>
  <si>
    <t>　aft PL-Mylar</t>
    <phoneticPr fontId="18"/>
  </si>
  <si>
    <t>δEbm補正 [%]</t>
    <rPh sb="4" eb="6">
      <t>ホセイ</t>
    </rPh>
    <phoneticPr fontId="18"/>
  </si>
  <si>
    <t>&lt;-実測値</t>
    <rPh sb="2" eb="5">
      <t>ジッソクチ</t>
    </rPh>
    <rPh sb="4" eb="5">
      <t>チ</t>
    </rPh>
    <phoneticPr fontId="18"/>
  </si>
  <si>
    <t>ver.Log</t>
    <phoneticPr fontId="18"/>
  </si>
  <si>
    <t>ThICal</t>
  </si>
  <si>
    <t>ThICal</t>
    <phoneticPr fontId="18"/>
  </si>
  <si>
    <t>=params!$D$34</t>
  </si>
  <si>
    <t>=params!$G$34</t>
  </si>
  <si>
    <t>=params!$H$34</t>
  </si>
  <si>
    <t>=params!$G$64</t>
  </si>
  <si>
    <t>=params!$H$64</t>
  </si>
  <si>
    <t>=params!$D$65</t>
  </si>
  <si>
    <t>=params!$D$69</t>
  </si>
  <si>
    <t>=params!$G$69</t>
  </si>
  <si>
    <t>=params!$H$69</t>
  </si>
  <si>
    <t>=params!$D$38</t>
  </si>
  <si>
    <t>=params!$D$45</t>
  </si>
  <si>
    <t>=params!$D$74</t>
  </si>
  <si>
    <t>=params!$D$49</t>
  </si>
  <si>
    <t>=params!$D$77</t>
  </si>
  <si>
    <t>=params!$D$56</t>
  </si>
  <si>
    <t>=params!$D$80</t>
  </si>
  <si>
    <t>=params!$D$60</t>
  </si>
  <si>
    <t>=params!$D$83</t>
  </si>
  <si>
    <t>=params!$D$29</t>
  </si>
  <si>
    <t>ref) params</t>
    <phoneticPr fontId="18"/>
  </si>
  <si>
    <t>PL.Al(mylar)</t>
  </si>
  <si>
    <t>　aft PL-Al(Mylar)</t>
  </si>
  <si>
    <t>PL.myAl</t>
    <phoneticPr fontId="18"/>
  </si>
  <si>
    <t>ThPLmyAl</t>
    <phoneticPr fontId="18"/>
  </si>
  <si>
    <t>?</t>
    <phoneticPr fontId="18"/>
  </si>
  <si>
    <t>srim40Ar_</t>
    <phoneticPr fontId="18"/>
  </si>
  <si>
    <t>Mold1</t>
    <phoneticPr fontId="18"/>
  </si>
  <si>
    <t>Mold2</t>
    <phoneticPr fontId="18"/>
  </si>
  <si>
    <t>Mold3</t>
    <phoneticPr fontId="18"/>
  </si>
  <si>
    <t>ビームライン常設</t>
    <rPh sb="6" eb="8">
      <t>ジョウセツ</t>
    </rPh>
    <phoneticPr fontId="18"/>
  </si>
  <si>
    <t>µm</t>
    <phoneticPr fontId="18"/>
  </si>
  <si>
    <t>照射物表面～感応層まで</t>
    <rPh sb="0" eb="2">
      <t>ショウシャ</t>
    </rPh>
    <rPh sb="2" eb="3">
      <t>ブツ</t>
    </rPh>
    <rPh sb="6" eb="9">
      <t>カンノウソウ</t>
    </rPh>
    <phoneticPr fontId="18"/>
  </si>
  <si>
    <t>これらの照射角度</t>
    <rPh sb="4" eb="8">
      <t>ショウシャカクド</t>
    </rPh>
    <phoneticPr fontId="18"/>
  </si>
  <si>
    <t>度</t>
  </si>
  <si>
    <t>照射物・材質</t>
    <rPh sb="0" eb="3">
      <t>ショウシャブツ</t>
    </rPh>
    <rPh sb="4" eb="6">
      <t>ザイシツ</t>
    </rPh>
    <phoneticPr fontId="18"/>
  </si>
  <si>
    <t>照射物表面・モールド材質</t>
    <rPh sb="0" eb="3">
      <t>ショウシャブツ</t>
    </rPh>
    <rPh sb="3" eb="5">
      <t>ヒョウメン</t>
    </rPh>
    <rPh sb="10" eb="12">
      <t>ザイシツ</t>
    </rPh>
    <phoneticPr fontId="18"/>
  </si>
  <si>
    <t>Sample</t>
    <phoneticPr fontId="18"/>
  </si>
  <si>
    <t>SSD用</t>
    <rPh sb="3" eb="4">
      <t>ヨウ</t>
    </rPh>
    <phoneticPr fontId="18"/>
  </si>
  <si>
    <t>ビームライン常設物</t>
    <rPh sb="8" eb="9">
      <t>ブツ</t>
    </rPh>
    <phoneticPr fontId="18"/>
  </si>
  <si>
    <t>厚さ</t>
    <phoneticPr fontId="18"/>
  </si>
  <si>
    <t>　aft Air2</t>
    <phoneticPr fontId="18"/>
  </si>
  <si>
    <t>照射物位置で</t>
    <rPh sb="0" eb="2">
      <t>ショウシャ</t>
    </rPh>
    <rPh sb="2" eb="3">
      <t>ブツ</t>
    </rPh>
    <rPh sb="3" eb="5">
      <t>イチ</t>
    </rPh>
    <phoneticPr fontId="18"/>
  </si>
  <si>
    <t xml:space="preserve"> 照射物 不感部 通過</t>
    <rPh sb="1" eb="3">
      <t>ショウシャ</t>
    </rPh>
    <rPh sb="3" eb="4">
      <t>ブツ</t>
    </rPh>
    <rPh sb="5" eb="7">
      <t>フカン</t>
    </rPh>
    <rPh sb="7" eb="8">
      <t>ブ</t>
    </rPh>
    <rPh sb="9" eb="11">
      <t>ツウカ</t>
    </rPh>
    <phoneticPr fontId="18"/>
  </si>
  <si>
    <t>不感部の角度換算厚さ</t>
    <rPh sb="0" eb="3">
      <t>フカンブ</t>
    </rPh>
    <rPh sb="4" eb="6">
      <t>カクド</t>
    </rPh>
    <rPh sb="6" eb="8">
      <t>カンザン</t>
    </rPh>
    <rPh sb="8" eb="9">
      <t>アツ</t>
    </rPh>
    <phoneticPr fontId="18"/>
  </si>
  <si>
    <t>照射物表層のモールド材</t>
    <rPh sb="0" eb="3">
      <t>ショウシャブツ</t>
    </rPh>
    <rPh sb="3" eb="5">
      <t>ヒョウソウ</t>
    </rPh>
    <rPh sb="10" eb="11">
      <t>ザイ</t>
    </rPh>
    <phoneticPr fontId="18"/>
  </si>
  <si>
    <t>照射物位置のSSDでは</t>
    <rPh sb="0" eb="3">
      <t>ショウシャブツ</t>
    </rPh>
    <rPh sb="3" eb="5">
      <t>イチ</t>
    </rPh>
    <phoneticPr fontId="18"/>
  </si>
  <si>
    <t>maxLETinSSD</t>
    <phoneticPr fontId="18"/>
  </si>
  <si>
    <t>srEold() で逆算が必要。EDegは不感物の上流なので</t>
    <rPh sb="10" eb="12">
      <t>ギャクサン</t>
    </rPh>
    <rPh sb="13" eb="15">
      <t>ヒツヨウ</t>
    </rPh>
    <rPh sb="21" eb="24">
      <t>フカンブツ</t>
    </rPh>
    <rPh sb="25" eb="27">
      <t>ジョウリュウ</t>
    </rPh>
    <phoneticPr fontId="18"/>
  </si>
  <si>
    <t>予想値</t>
    <rPh sb="0" eb="3">
      <t>ヨソウチ</t>
    </rPh>
    <phoneticPr fontId="18"/>
  </si>
  <si>
    <t>Epoxy</t>
    <phoneticPr fontId="18"/>
  </si>
  <si>
    <t>SiO2</t>
    <phoneticPr fontId="18"/>
  </si>
  <si>
    <t>希望するビーム条件</t>
    <rPh sb="0" eb="2">
      <t>キボウ</t>
    </rPh>
    <rPh sb="7" eb="9">
      <t>ジョウケン</t>
    </rPh>
    <phoneticPr fontId="18"/>
  </si>
  <si>
    <t>★モールド材　未対応</t>
    <rPh sb="5" eb="6">
      <t>ザイ</t>
    </rPh>
    <rPh sb="7" eb="10">
      <t>ミタイオウ</t>
    </rPh>
    <phoneticPr fontId="18"/>
  </si>
  <si>
    <t>2020.01/01 Ar(X01)</t>
    <phoneticPr fontId="18"/>
  </si>
  <si>
    <t>bef Air2</t>
    <phoneticPr fontId="18"/>
  </si>
  <si>
    <t>RAl@Air1</t>
    <phoneticPr fontId="18"/>
  </si>
  <si>
    <t>20.12/09</t>
    <phoneticPr fontId="18"/>
  </si>
  <si>
    <t>E5照射実験用 build</t>
    <rPh sb="2" eb="4">
      <t>ショウシャ</t>
    </rPh>
    <rPh sb="4" eb="6">
      <t>ジッケン</t>
    </rPh>
    <rPh sb="6" eb="7">
      <t>ヨウ</t>
    </rPh>
    <phoneticPr fontId="18"/>
  </si>
  <si>
    <t>2012 Kr,Ar 用から継承</t>
    <rPh sb="11" eb="12">
      <t>ヨウ</t>
    </rPh>
    <rPh sb="14" eb="16">
      <t>ケイショウ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</si>
</sst>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0"/>
    <numFmt numFmtId="177" formatCode="0.000"/>
    <numFmt numFmtId="178" formatCode="0.0"/>
    <numFmt numFmtId="179" formatCode="&quot;A=&quot;0"/>
    <numFmt numFmtId="180" formatCode="&quot;Z=&quot;0"/>
    <numFmt numFmtId="181" formatCode="0.00_ "/>
    <numFmt numFmtId="182" formatCode="0&quot;μm&quot;"/>
  </numFmts>
  <fonts count="8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  <charset val="204"/>
    </font>
    <font>
      <sz val="10"/>
      <name val="MS Sans Serif"/>
      <family val="2"/>
    </font>
    <font>
      <sz val="10"/>
      <name val="Geneva"/>
      <family val="2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b/>
      <sz val="16"/>
      <color theme="1"/>
      <name val="ＭＳ Ｐゴシック"/>
      <family val="3"/>
      <charset val="128"/>
      <scheme val="minor"/>
    </font>
    <font>
      <sz val="10"/>
      <name val="細明朝体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FF"/>
      <name val="ＭＳ Ｐゴシック"/>
      <family val="3"/>
      <charset val="128"/>
      <scheme val="minor"/>
    </font>
    <font>
      <b/>
      <sz val="11"/>
      <color rgb="FFFF00F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2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1" tint="0.499984740745262"/>
      <name val="ＭＳ Ｐゴシック"/>
      <family val="3"/>
      <charset val="128"/>
      <scheme val="minor"/>
    </font>
    <font>
      <sz val="11"/>
      <color rgb="FF9900FF"/>
      <name val="ＭＳ Ｐゴシック"/>
      <family val="3"/>
      <charset val="128"/>
      <scheme val="minor"/>
    </font>
    <font>
      <sz val="9"/>
      <color rgb="FF009900"/>
      <name val="ＭＳ Ｐゴシック"/>
      <family val="3"/>
      <charset val="128"/>
      <scheme val="minor"/>
    </font>
    <font>
      <sz val="12"/>
      <name val="Osaka"/>
      <family val="3"/>
      <charset val="128"/>
    </font>
    <font>
      <b/>
      <sz val="9"/>
      <color rgb="FF009900"/>
      <name val="ＭＳ Ｐゴシック"/>
      <family val="3"/>
      <charset val="128"/>
      <scheme val="minor"/>
    </font>
    <font>
      <sz val="14"/>
      <color rgb="FF0000FF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1"/>
      <color rgb="FF9900F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6600FF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i/>
      <sz val="11"/>
      <color theme="1" tint="0.499984740745262"/>
      <name val="ＭＳ Ｐゴシック"/>
      <family val="3"/>
      <charset val="128"/>
      <scheme val="minor"/>
    </font>
    <font>
      <b/>
      <sz val="16"/>
      <color rgb="FFC00000"/>
      <name val="ＭＳ Ｐゴシック"/>
      <family val="3"/>
      <charset val="128"/>
      <scheme val="minor"/>
    </font>
    <font>
      <sz val="11"/>
      <color rgb="FF008000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0"/>
      <color theme="1" tint="0.499984740745262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rgb="FF008000"/>
      <name val="ＭＳ Ｐゴシック"/>
      <family val="3"/>
      <charset val="128"/>
      <scheme val="minor"/>
    </font>
    <font>
      <sz val="10"/>
      <color rgb="FF008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9"/>
      <color theme="0" tint="-0.499984740745262"/>
      <name val="ＭＳ Ｐゴシック"/>
      <family val="3"/>
      <charset val="128"/>
      <scheme val="minor"/>
    </font>
    <font>
      <b/>
      <sz val="10"/>
      <color rgb="FF008000"/>
      <name val="ＭＳ Ｐゴシック"/>
      <family val="3"/>
      <charset val="128"/>
      <scheme val="minor"/>
    </font>
    <font>
      <i/>
      <sz val="10"/>
      <color theme="1"/>
      <name val="ＭＳ Ｐゴシック"/>
      <family val="3"/>
      <charset val="128"/>
      <scheme val="minor"/>
    </font>
    <font>
      <b/>
      <sz val="14"/>
      <color rgb="FFFF00FF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i/>
      <sz val="9"/>
      <color rgb="FFFF00FF"/>
      <name val="ＭＳ Ｐゴシック"/>
      <family val="3"/>
      <charset val="128"/>
      <scheme val="minor"/>
    </font>
    <font>
      <i/>
      <sz val="11"/>
      <color rgb="FFFF00FF"/>
      <name val="ＭＳ Ｐゴシック"/>
      <family val="3"/>
      <charset val="128"/>
      <scheme val="minor"/>
    </font>
    <font>
      <sz val="11"/>
      <color rgb="FF6600FF"/>
      <name val="ＭＳ Ｐゴシック"/>
      <family val="3"/>
      <charset val="128"/>
      <scheme val="minor"/>
    </font>
    <font>
      <i/>
      <sz val="9"/>
      <color theme="1"/>
      <name val="ＭＳ Ｐゴシック"/>
      <family val="3"/>
      <charset val="128"/>
      <scheme val="minor"/>
    </font>
    <font>
      <b/>
      <sz val="11"/>
      <color theme="1" tint="0.249977111117893"/>
      <name val="ＭＳ Ｐゴシック"/>
      <family val="3"/>
      <charset val="128"/>
      <scheme val="minor"/>
    </font>
    <font>
      <b/>
      <sz val="14"/>
      <color rgb="FF0000FF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i/>
      <sz val="12"/>
      <color theme="1"/>
      <name val="ＭＳ Ｐゴシック"/>
      <family val="3"/>
      <charset val="128"/>
      <scheme val="minor"/>
    </font>
    <font>
      <sz val="9"/>
      <color theme="1" tint="0.34998626667073579"/>
      <name val="ＭＳ Ｐゴシック"/>
      <family val="3"/>
      <charset val="128"/>
      <scheme val="minor"/>
    </font>
    <font>
      <sz val="9"/>
      <color rgb="FF008000"/>
      <name val="ＭＳ Ｐゴシック"/>
      <family val="3"/>
      <charset val="128"/>
      <scheme val="minor"/>
    </font>
    <font>
      <i/>
      <sz val="9"/>
      <color rgb="FF008000"/>
      <name val="ＭＳ Ｐゴシック"/>
      <family val="3"/>
      <charset val="128"/>
      <scheme val="minor"/>
    </font>
    <font>
      <b/>
      <sz val="10"/>
      <color rgb="FFFF6600"/>
      <name val="ＭＳ Ｐゴシック"/>
      <family val="3"/>
      <charset val="128"/>
      <scheme val="minor"/>
    </font>
    <font>
      <b/>
      <sz val="11"/>
      <color rgb="FFFF6600"/>
      <name val="ＭＳ Ｐゴシック"/>
      <family val="3"/>
      <charset val="128"/>
      <scheme val="minor"/>
    </font>
    <font>
      <sz val="10"/>
      <color rgb="FFFF00FF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i/>
      <sz val="10"/>
      <color rgb="FFFF00FF"/>
      <name val="ＭＳ Ｐゴシック"/>
      <family val="3"/>
      <charset val="128"/>
      <scheme val="minor"/>
    </font>
    <font>
      <b/>
      <sz val="9"/>
      <color rgb="FF0000FF"/>
      <name val="ＭＳ Ｐゴシック"/>
      <family val="3"/>
      <charset val="128"/>
      <scheme val="minor"/>
    </font>
    <font>
      <i/>
      <sz val="10"/>
      <color rgb="FFFF00FF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  <scheme val="minor"/>
    </font>
    <font>
      <b/>
      <sz val="10"/>
      <color rgb="FF7030A0"/>
      <name val="ＭＳ Ｐゴシック"/>
      <family val="3"/>
      <charset val="128"/>
      <scheme val="minor"/>
    </font>
    <font>
      <i/>
      <sz val="9"/>
      <color rgb="FF0070C0"/>
      <name val="ＭＳ Ｐゴシック"/>
      <family val="3"/>
      <charset val="128"/>
      <scheme val="minor"/>
    </font>
    <font>
      <b/>
      <i/>
      <sz val="11"/>
      <color rgb="FFFF0000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i/>
      <sz val="10"/>
      <color theme="3"/>
      <name val="ＭＳ Ｐゴシック"/>
      <family val="3"/>
      <charset val="128"/>
      <scheme val="minor"/>
    </font>
    <font>
      <i/>
      <sz val="11"/>
      <color theme="3"/>
      <name val="ＭＳ Ｐゴシック"/>
      <family val="3"/>
      <charset val="128"/>
      <scheme val="minor"/>
    </font>
    <font>
      <sz val="10"/>
      <color theme="3"/>
      <name val="ＭＳ Ｐゴシック"/>
      <family val="3"/>
      <charset val="128"/>
      <scheme val="minor"/>
    </font>
    <font>
      <i/>
      <sz val="9"/>
      <color theme="3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9"/>
      <color theme="3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FF"/>
      </left>
      <right style="medium">
        <color rgb="FFFF00FF"/>
      </right>
      <top style="medium">
        <color rgb="FFFF00FF"/>
      </top>
      <bottom style="medium">
        <color rgb="FFFF00FF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FF00FF"/>
      </left>
      <right style="thin">
        <color rgb="FFFF00FF"/>
      </right>
      <top style="thin">
        <color rgb="FFFF00FF"/>
      </top>
      <bottom style="thin">
        <color rgb="FFFF00FF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FF00FF"/>
      </left>
      <right style="thin">
        <color rgb="FFFF00FF"/>
      </right>
      <top style="thin">
        <color rgb="FFFF00FF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F0"/>
      </bottom>
      <diagonal/>
    </border>
    <border>
      <left style="thin">
        <color rgb="FF00B050"/>
      </left>
      <right style="thin">
        <color rgb="FF00B050"/>
      </right>
      <top style="thin">
        <color rgb="FF00B0F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F0"/>
      </top>
      <bottom style="thin">
        <color rgb="FF00B0F0"/>
      </bottom>
      <diagonal/>
    </border>
    <border>
      <left style="thin">
        <color rgb="FF00B050"/>
      </left>
      <right style="thin">
        <color rgb="FF00B050"/>
      </right>
      <top/>
      <bottom style="thin">
        <color rgb="FF00B0F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/>
      <diagonal/>
    </border>
  </borders>
  <cellStyleXfs count="92">
    <xf numFmtId="0" fontId="0" fillId="0" borderId="0">
      <alignment vertical="center"/>
    </xf>
    <xf numFmtId="0" fontId="13" fillId="0" borderId="0"/>
    <xf numFmtId="0" fontId="16" fillId="0" borderId="0">
      <alignment vertical="center"/>
    </xf>
    <xf numFmtId="0" fontId="12" fillId="0" borderId="0"/>
    <xf numFmtId="0" fontId="16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1" fillId="0" borderId="0"/>
    <xf numFmtId="0" fontId="9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27" fillId="0" borderId="0"/>
    <xf numFmtId="0" fontId="28" fillId="0" borderId="0">
      <alignment vertical="center"/>
    </xf>
    <xf numFmtId="0" fontId="2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35" fillId="0" borderId="0"/>
    <xf numFmtId="38" fontId="35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21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0" xfId="0" applyBorder="1" applyAlignment="1">
      <alignment horizontal="right" vertical="center"/>
    </xf>
    <xf numFmtId="0" fontId="25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5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/>
    </xf>
    <xf numFmtId="2" fontId="22" fillId="0" borderId="0" xfId="0" applyNumberFormat="1" applyFont="1">
      <alignment vertical="center"/>
    </xf>
    <xf numFmtId="2" fontId="22" fillId="0" borderId="0" xfId="0" applyNumberFormat="1" applyFont="1" applyFill="1">
      <alignment vertical="center"/>
    </xf>
    <xf numFmtId="0" fontId="0" fillId="0" borderId="9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1" fontId="0" fillId="0" borderId="6" xfId="0" applyNumberFormat="1" applyFont="1" applyFill="1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1" fontId="0" fillId="0" borderId="0" xfId="0" applyNumberFormat="1" applyFont="1" applyFill="1" applyBorder="1">
      <alignment vertical="center"/>
    </xf>
    <xf numFmtId="2" fontId="25" fillId="0" borderId="0" xfId="0" applyNumberFormat="1" applyFont="1" applyFill="1" applyBorder="1">
      <alignment vertical="center"/>
    </xf>
    <xf numFmtId="0" fontId="36" fillId="0" borderId="0" xfId="0" applyFont="1">
      <alignment vertical="center"/>
    </xf>
    <xf numFmtId="0" fontId="31" fillId="0" borderId="0" xfId="0" applyFont="1">
      <alignment vertical="center"/>
    </xf>
    <xf numFmtId="0" fontId="34" fillId="0" borderId="0" xfId="0" applyFont="1">
      <alignment vertical="center"/>
    </xf>
    <xf numFmtId="0" fontId="37" fillId="0" borderId="0" xfId="0" applyFont="1">
      <alignment vertical="center"/>
    </xf>
    <xf numFmtId="0" fontId="30" fillId="0" borderId="0" xfId="0" applyFont="1">
      <alignment vertical="center"/>
    </xf>
    <xf numFmtId="2" fontId="23" fillId="3" borderId="6" xfId="0" applyNumberFormat="1" applyFont="1" applyFill="1" applyBorder="1">
      <alignment vertical="center"/>
    </xf>
    <xf numFmtId="0" fontId="23" fillId="0" borderId="10" xfId="0" applyFont="1" applyBorder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3" borderId="10" xfId="0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0" borderId="10" xfId="0" applyFont="1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2" fontId="36" fillId="0" borderId="0" xfId="0" applyNumberFormat="1" applyFont="1">
      <alignment vertical="center"/>
    </xf>
    <xf numFmtId="2" fontId="0" fillId="0" borderId="5" xfId="0" applyNumberFormat="1" applyFont="1" applyFill="1" applyBorder="1">
      <alignment vertical="center"/>
    </xf>
    <xf numFmtId="0" fontId="40" fillId="0" borderId="1" xfId="0" applyFont="1" applyBorder="1" applyAlignment="1">
      <alignment horizontal="right" vertical="center"/>
    </xf>
    <xf numFmtId="176" fontId="23" fillId="0" borderId="0" xfId="0" applyNumberFormat="1" applyFont="1" applyBorder="1">
      <alignment vertical="center"/>
    </xf>
    <xf numFmtId="176" fontId="41" fillId="0" borderId="5" xfId="0" applyNumberFormat="1" applyFont="1" applyBorder="1">
      <alignment vertical="center"/>
    </xf>
    <xf numFmtId="2" fontId="0" fillId="0" borderId="5" xfId="0" applyNumberFormat="1" applyFont="1" applyFill="1" applyBorder="1" applyAlignment="1">
      <alignment horizontal="right" vertical="center"/>
    </xf>
    <xf numFmtId="2" fontId="23" fillId="0" borderId="0" xfId="0" applyNumberFormat="1" applyFont="1" applyBorder="1">
      <alignment vertical="center"/>
    </xf>
    <xf numFmtId="2" fontId="39" fillId="0" borderId="8" xfId="0" applyNumberFormat="1" applyFont="1" applyBorder="1">
      <alignment vertical="center"/>
    </xf>
    <xf numFmtId="0" fontId="0" fillId="0" borderId="11" xfId="0" applyFont="1" applyFill="1" applyBorder="1">
      <alignment vertical="center"/>
    </xf>
    <xf numFmtId="1" fontId="36" fillId="0" borderId="0" xfId="0" applyNumberFormat="1" applyFont="1">
      <alignment vertical="center"/>
    </xf>
    <xf numFmtId="0" fontId="15" fillId="5" borderId="1" xfId="0" applyFont="1" applyFill="1" applyBorder="1" applyAlignment="1">
      <alignment horizontal="center" vertical="center"/>
    </xf>
    <xf numFmtId="1" fontId="17" fillId="0" borderId="5" xfId="0" applyNumberFormat="1" applyFont="1" applyFill="1" applyBorder="1" applyAlignment="1">
      <alignment horizontal="right" vertical="center"/>
    </xf>
    <xf numFmtId="1" fontId="22" fillId="0" borderId="0" xfId="0" applyNumberFormat="1" applyFont="1" applyFill="1">
      <alignment vertical="center"/>
    </xf>
    <xf numFmtId="2" fontId="17" fillId="0" borderId="5" xfId="0" applyNumberFormat="1" applyFont="1" applyFill="1" applyBorder="1" applyAlignment="1">
      <alignment horizontal="right" vertical="center"/>
    </xf>
    <xf numFmtId="0" fontId="40" fillId="0" borderId="9" xfId="0" applyFont="1" applyBorder="1" applyAlignment="1">
      <alignment horizontal="right" vertical="center"/>
    </xf>
    <xf numFmtId="176" fontId="23" fillId="0" borderId="3" xfId="0" applyNumberFormat="1" applyFont="1" applyBorder="1">
      <alignment vertical="center"/>
    </xf>
    <xf numFmtId="176" fontId="41" fillId="0" borderId="4" xfId="0" applyNumberFormat="1" applyFont="1" applyBorder="1">
      <alignment vertical="center"/>
    </xf>
    <xf numFmtId="0" fontId="40" fillId="0" borderId="10" xfId="0" applyFont="1" applyBorder="1" applyAlignment="1">
      <alignment horizontal="right" vertical="center"/>
    </xf>
    <xf numFmtId="2" fontId="23" fillId="0" borderId="6" xfId="0" applyNumberFormat="1" applyFont="1" applyBorder="1">
      <alignment vertical="center"/>
    </xf>
    <xf numFmtId="0" fontId="15" fillId="5" borderId="10" xfId="0" applyFont="1" applyFill="1" applyBorder="1" applyAlignment="1">
      <alignment horizontal="center" vertical="center"/>
    </xf>
    <xf numFmtId="1" fontId="17" fillId="0" borderId="8" xfId="0" applyNumberFormat="1" applyFont="1" applyFill="1" applyBorder="1" applyAlignment="1">
      <alignment horizontal="right" vertical="center"/>
    </xf>
    <xf numFmtId="0" fontId="0" fillId="5" borderId="9" xfId="0" applyFill="1" applyBorder="1" applyAlignment="1">
      <alignment horizontal="left" vertical="center"/>
    </xf>
    <xf numFmtId="0" fontId="23" fillId="5" borderId="1" xfId="0" applyFont="1" applyFill="1" applyBorder="1" applyAlignment="1">
      <alignment horizontal="right" vertical="center"/>
    </xf>
    <xf numFmtId="178" fontId="26" fillId="0" borderId="0" xfId="0" applyNumberFormat="1" applyFont="1" applyFill="1" applyBorder="1">
      <alignment vertical="center"/>
    </xf>
    <xf numFmtId="0" fontId="0" fillId="0" borderId="11" xfId="0" applyBorder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178" fontId="25" fillId="0" borderId="0" xfId="0" applyNumberFormat="1" applyFont="1" applyBorder="1">
      <alignment vertical="center"/>
    </xf>
    <xf numFmtId="0" fontId="38" fillId="0" borderId="10" xfId="0" applyFont="1" applyBorder="1" applyAlignment="1">
      <alignment horizontal="right" vertical="center"/>
    </xf>
    <xf numFmtId="177" fontId="23" fillId="0" borderId="6" xfId="0" applyNumberFormat="1" applyFont="1" applyBorder="1">
      <alignment vertical="center"/>
    </xf>
    <xf numFmtId="0" fontId="0" fillId="0" borderId="0" xfId="0" applyFont="1" applyAlignment="1">
      <alignment horizontal="right" vertical="center"/>
    </xf>
    <xf numFmtId="2" fontId="0" fillId="0" borderId="8" xfId="0" applyNumberFormat="1" applyBorder="1">
      <alignment vertical="center"/>
    </xf>
    <xf numFmtId="0" fontId="0" fillId="2" borderId="0" xfId="0" applyFill="1">
      <alignment vertical="center"/>
    </xf>
    <xf numFmtId="0" fontId="20" fillId="2" borderId="0" xfId="0" applyFont="1" applyFill="1" applyBorder="1" applyAlignment="1">
      <alignment horizontal="left" vertical="center"/>
    </xf>
    <xf numFmtId="0" fontId="42" fillId="0" borderId="0" xfId="0" applyFont="1">
      <alignment vertical="center"/>
    </xf>
    <xf numFmtId="0" fontId="42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43" fillId="0" borderId="0" xfId="0" applyFont="1">
      <alignment vertical="center"/>
    </xf>
    <xf numFmtId="0" fontId="32" fillId="0" borderId="0" xfId="0" applyFont="1">
      <alignment vertical="center"/>
    </xf>
    <xf numFmtId="0" fontId="0" fillId="0" borderId="9" xfId="0" applyFont="1" applyFill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0" fontId="0" fillId="0" borderId="11" xfId="0" applyFill="1" applyBorder="1" applyAlignment="1">
      <alignment horizontal="right" vertical="center"/>
    </xf>
    <xf numFmtId="0" fontId="26" fillId="0" borderId="12" xfId="0" applyFont="1" applyFill="1" applyBorder="1" applyAlignment="1">
      <alignment horizontal="left" vertical="center"/>
    </xf>
    <xf numFmtId="0" fontId="0" fillId="0" borderId="0" xfId="0" applyFont="1" applyFill="1" applyBorder="1">
      <alignment vertical="center"/>
    </xf>
    <xf numFmtId="0" fontId="44" fillId="0" borderId="0" xfId="0" applyFont="1">
      <alignment vertical="center"/>
    </xf>
    <xf numFmtId="0" fontId="0" fillId="0" borderId="0" xfId="0" applyFont="1" applyBorder="1">
      <alignment vertical="center"/>
    </xf>
    <xf numFmtId="0" fontId="17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o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2" fontId="26" fillId="0" borderId="0" xfId="0" applyNumberFormat="1" applyFont="1">
      <alignment vertical="center"/>
    </xf>
    <xf numFmtId="0" fontId="0" fillId="0" borderId="0" xfId="0" quotePrefix="1">
      <alignment vertical="center"/>
    </xf>
    <xf numFmtId="2" fontId="50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177" fontId="17" fillId="0" borderId="0" xfId="0" applyNumberFormat="1" applyFont="1">
      <alignment vertical="center"/>
    </xf>
    <xf numFmtId="0" fontId="17" fillId="0" borderId="0" xfId="0" quotePrefix="1" applyFont="1">
      <alignment vertical="center"/>
    </xf>
    <xf numFmtId="0" fontId="17" fillId="0" borderId="0" xfId="0" applyFont="1" applyBorder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2" fontId="17" fillId="0" borderId="0" xfId="0" applyNumberFormat="1" applyFont="1">
      <alignment vertical="center"/>
    </xf>
    <xf numFmtId="0" fontId="58" fillId="0" borderId="0" xfId="0" applyFont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4" xfId="0" applyFont="1" applyBorder="1" applyAlignment="1">
      <alignment horizontal="left" vertical="center"/>
    </xf>
    <xf numFmtId="0" fontId="26" fillId="0" borderId="0" xfId="0" applyFont="1" applyBorder="1">
      <alignment vertical="center"/>
    </xf>
    <xf numFmtId="0" fontId="26" fillId="0" borderId="6" xfId="0" applyFont="1" applyBorder="1">
      <alignment vertical="center"/>
    </xf>
    <xf numFmtId="0" fontId="0" fillId="0" borderId="17" xfId="0" applyFont="1" applyFill="1" applyBorder="1" applyAlignment="1">
      <alignment horizontal="center" vertical="center"/>
    </xf>
    <xf numFmtId="0" fontId="22" fillId="0" borderId="5" xfId="0" applyFont="1" applyBorder="1">
      <alignment vertical="center"/>
    </xf>
    <xf numFmtId="178" fontId="23" fillId="2" borderId="6" xfId="0" applyNumberFormat="1" applyFont="1" applyFill="1" applyBorder="1">
      <alignment vertical="center"/>
    </xf>
    <xf numFmtId="0" fontId="22" fillId="0" borderId="8" xfId="0" applyFont="1" applyBorder="1">
      <alignment vertical="center"/>
    </xf>
    <xf numFmtId="178" fontId="41" fillId="0" borderId="3" xfId="0" applyNumberFormat="1" applyFont="1" applyFill="1" applyBorder="1">
      <alignment vertical="center"/>
    </xf>
    <xf numFmtId="178" fontId="41" fillId="0" borderId="6" xfId="0" applyNumberFormat="1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0" fillId="0" borderId="0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60" fillId="0" borderId="0" xfId="0" applyFont="1">
      <alignment vertical="center"/>
    </xf>
    <xf numFmtId="0" fontId="60" fillId="0" borderId="0" xfId="0" quotePrefix="1" applyFont="1">
      <alignment vertical="center"/>
    </xf>
    <xf numFmtId="0" fontId="23" fillId="0" borderId="6" xfId="0" applyFont="1" applyBorder="1">
      <alignment vertical="center"/>
    </xf>
    <xf numFmtId="0" fontId="60" fillId="0" borderId="0" xfId="0" quotePrefix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61" fillId="0" borderId="0" xfId="0" applyFont="1" applyAlignment="1">
      <alignment horizontal="center" vertical="center"/>
    </xf>
    <xf numFmtId="178" fontId="48" fillId="0" borderId="0" xfId="0" applyNumberFormat="1" applyFont="1">
      <alignment vertical="center"/>
    </xf>
    <xf numFmtId="177" fontId="51" fillId="0" borderId="0" xfId="0" applyNumberFormat="1" applyFont="1">
      <alignment vertical="center"/>
    </xf>
    <xf numFmtId="178" fontId="62" fillId="0" borderId="0" xfId="0" applyNumberFormat="1" applyFo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23" xfId="0" applyBorder="1">
      <alignment vertical="center"/>
    </xf>
    <xf numFmtId="0" fontId="63" fillId="0" borderId="0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64" fillId="0" borderId="25" xfId="0" applyFont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9" fontId="42" fillId="0" borderId="27" xfId="0" applyNumberFormat="1" applyFont="1" applyBorder="1">
      <alignment vertical="center"/>
    </xf>
    <xf numFmtId="0" fontId="42" fillId="0" borderId="27" xfId="0" applyFont="1" applyBorder="1">
      <alignment vertical="center"/>
    </xf>
    <xf numFmtId="179" fontId="47" fillId="0" borderId="27" xfId="0" applyNumberFormat="1" applyFont="1" applyBorder="1" applyAlignment="1">
      <alignment horizontal="center" vertical="center"/>
    </xf>
    <xf numFmtId="180" fontId="47" fillId="0" borderId="27" xfId="0" applyNumberFormat="1" applyFont="1" applyBorder="1" applyAlignment="1">
      <alignment horizontal="center" vertical="center"/>
    </xf>
    <xf numFmtId="0" fontId="17" fillId="0" borderId="27" xfId="0" applyFont="1" applyBorder="1" applyAlignment="1">
      <alignment horizontal="right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2" fontId="0" fillId="0" borderId="23" xfId="0" applyNumberFormat="1" applyBorder="1" applyAlignment="1">
      <alignment horizontal="center" vertical="center"/>
    </xf>
    <xf numFmtId="2" fontId="57" fillId="0" borderId="0" xfId="0" applyNumberFormat="1" applyFont="1" applyBorder="1" applyAlignment="1">
      <alignment horizontal="center" vertical="center"/>
    </xf>
    <xf numFmtId="0" fontId="0" fillId="0" borderId="29" xfId="0" applyFill="1" applyBorder="1">
      <alignment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5" xfId="0" quotePrefix="1" applyBorder="1">
      <alignment vertical="center"/>
    </xf>
    <xf numFmtId="2" fontId="0" fillId="0" borderId="26" xfId="0" applyNumberFormat="1" applyBorder="1" applyAlignment="1">
      <alignment horizontal="center" vertical="center"/>
    </xf>
    <xf numFmtId="0" fontId="0" fillId="0" borderId="0" xfId="0" quotePrefix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7" xfId="0" applyFont="1" applyBorder="1" applyAlignment="1">
      <alignment horizontal="left" vertical="center"/>
    </xf>
    <xf numFmtId="0" fontId="65" fillId="0" borderId="24" xfId="0" applyFont="1" applyBorder="1">
      <alignment vertical="center"/>
    </xf>
    <xf numFmtId="178" fontId="23" fillId="0" borderId="27" xfId="0" applyNumberFormat="1" applyFont="1" applyBorder="1">
      <alignment vertical="center"/>
    </xf>
    <xf numFmtId="0" fontId="0" fillId="0" borderId="29" xfId="0" quotePrefix="1" applyBorder="1">
      <alignment vertical="center"/>
    </xf>
    <xf numFmtId="2" fontId="0" fillId="0" borderId="30" xfId="0" applyNumberForma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177" fontId="22" fillId="0" borderId="26" xfId="0" applyNumberFormat="1" applyFont="1" applyBorder="1">
      <alignment vertical="center"/>
    </xf>
    <xf numFmtId="177" fontId="22" fillId="0" borderId="23" xfId="0" applyNumberFormat="1" applyFont="1" applyBorder="1">
      <alignment vertical="center"/>
    </xf>
    <xf numFmtId="177" fontId="22" fillId="0" borderId="30" xfId="0" applyNumberFormat="1" applyFont="1" applyBorder="1">
      <alignment vertical="center"/>
    </xf>
    <xf numFmtId="0" fontId="15" fillId="0" borderId="15" xfId="0" applyFont="1" applyBorder="1" applyAlignment="1">
      <alignment horizontal="center" vertical="center"/>
    </xf>
    <xf numFmtId="0" fontId="46" fillId="0" borderId="15" xfId="0" quotePrefix="1" applyFont="1" applyBorder="1" applyAlignment="1">
      <alignment horizontal="center" vertical="center"/>
    </xf>
    <xf numFmtId="0" fontId="57" fillId="0" borderId="15" xfId="0" quotePrefix="1" applyFont="1" applyBorder="1" applyAlignment="1">
      <alignment horizontal="center" vertical="center"/>
    </xf>
    <xf numFmtId="0" fontId="0" fillId="0" borderId="27" xfId="0" applyFill="1" applyBorder="1">
      <alignment vertical="center"/>
    </xf>
    <xf numFmtId="178" fontId="0" fillId="0" borderId="24" xfId="0" applyNumberFormat="1" applyBorder="1">
      <alignment vertical="center"/>
    </xf>
    <xf numFmtId="178" fontId="0" fillId="0" borderId="27" xfId="0" applyNumberFormat="1" applyBorder="1">
      <alignment vertical="center"/>
    </xf>
    <xf numFmtId="178" fontId="0" fillId="0" borderId="28" xfId="0" applyNumberFormat="1" applyBorder="1">
      <alignment vertical="center"/>
    </xf>
    <xf numFmtId="0" fontId="0" fillId="0" borderId="28" xfId="0" applyFill="1" applyBorder="1">
      <alignment vertical="center"/>
    </xf>
    <xf numFmtId="0" fontId="0" fillId="0" borderId="30" xfId="0" applyFill="1" applyBorder="1">
      <alignment vertical="center"/>
    </xf>
    <xf numFmtId="2" fontId="0" fillId="0" borderId="14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61" fillId="0" borderId="14" xfId="0" applyFont="1" applyBorder="1" applyAlignment="1">
      <alignment horizontal="center" vertical="center"/>
    </xf>
    <xf numFmtId="0" fontId="0" fillId="0" borderId="15" xfId="0" quotePrefix="1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17" fillId="0" borderId="15" xfId="0" applyFont="1" applyBorder="1" applyAlignment="1">
      <alignment horizontal="center" vertical="center"/>
    </xf>
    <xf numFmtId="178" fontId="23" fillId="4" borderId="24" xfId="0" applyNumberFormat="1" applyFont="1" applyFill="1" applyBorder="1">
      <alignment vertical="center"/>
    </xf>
    <xf numFmtId="178" fontId="23" fillId="4" borderId="28" xfId="0" applyNumberFormat="1" applyFont="1" applyFill="1" applyBorder="1">
      <alignment vertical="center"/>
    </xf>
    <xf numFmtId="178" fontId="23" fillId="4" borderId="27" xfId="0" applyNumberFormat="1" applyFont="1" applyFill="1" applyBorder="1">
      <alignment vertical="center"/>
    </xf>
    <xf numFmtId="0" fontId="46" fillId="4" borderId="14" xfId="0" quotePrefix="1" applyFont="1" applyFill="1" applyBorder="1" applyAlignment="1">
      <alignment horizontal="center" vertical="center"/>
    </xf>
    <xf numFmtId="0" fontId="46" fillId="4" borderId="16" xfId="0" quotePrefix="1" applyFont="1" applyFill="1" applyBorder="1" applyAlignment="1">
      <alignment horizontal="center" vertical="center"/>
    </xf>
    <xf numFmtId="0" fontId="57" fillId="4" borderId="14" xfId="0" quotePrefix="1" applyFont="1" applyFill="1" applyBorder="1" applyAlignment="1">
      <alignment horizontal="center" vertical="center"/>
    </xf>
    <xf numFmtId="2" fontId="46" fillId="4" borderId="25" xfId="0" applyNumberFormat="1" applyFont="1" applyFill="1" applyBorder="1" applyAlignment="1">
      <alignment horizontal="center" vertical="center"/>
    </xf>
    <xf numFmtId="0" fontId="57" fillId="4" borderId="16" xfId="0" quotePrefix="1" applyFont="1" applyFill="1" applyBorder="1" applyAlignment="1">
      <alignment horizontal="center" vertical="center"/>
    </xf>
    <xf numFmtId="2" fontId="57" fillId="4" borderId="29" xfId="0" applyNumberFormat="1" applyFont="1" applyFill="1" applyBorder="1" applyAlignment="1">
      <alignment horizontal="center" vertical="center"/>
    </xf>
    <xf numFmtId="0" fontId="57" fillId="4" borderId="15" xfId="0" quotePrefix="1" applyFont="1" applyFill="1" applyBorder="1" applyAlignment="1">
      <alignment horizontal="center" vertical="center"/>
    </xf>
    <xf numFmtId="2" fontId="46" fillId="4" borderId="0" xfId="0" applyNumberFormat="1" applyFont="1" applyFill="1" applyBorder="1" applyAlignment="1">
      <alignment horizontal="center" vertical="center"/>
    </xf>
    <xf numFmtId="2" fontId="57" fillId="4" borderId="0" xfId="0" applyNumberFormat="1" applyFont="1" applyFill="1" applyBorder="1" applyAlignment="1">
      <alignment horizontal="center" vertical="center"/>
    </xf>
    <xf numFmtId="2" fontId="15" fillId="0" borderId="25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178" fontId="23" fillId="0" borderId="24" xfId="0" applyNumberFormat="1" applyFont="1" applyFill="1" applyBorder="1">
      <alignment vertical="center"/>
    </xf>
    <xf numFmtId="177" fontId="22" fillId="0" borderId="26" xfId="0" applyNumberFormat="1" applyFont="1" applyFill="1" applyBorder="1">
      <alignment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26" xfId="0" applyNumberFormat="1" applyFill="1" applyBorder="1" applyAlignment="1">
      <alignment horizontal="center" vertical="center"/>
    </xf>
    <xf numFmtId="0" fontId="0" fillId="0" borderId="14" xfId="0" quotePrefix="1" applyFont="1" applyFill="1" applyBorder="1" applyAlignment="1">
      <alignment horizontal="center" vertical="center"/>
    </xf>
    <xf numFmtId="178" fontId="0" fillId="0" borderId="14" xfId="0" applyNumberFormat="1" applyFont="1" applyFill="1" applyBorder="1" applyAlignment="1">
      <alignment horizontal="center" vertical="center"/>
    </xf>
    <xf numFmtId="0" fontId="0" fillId="0" borderId="15" xfId="0" quotePrefix="1" applyFont="1" applyFill="1" applyBorder="1" applyAlignment="1">
      <alignment horizontal="center" vertical="center"/>
    </xf>
    <xf numFmtId="178" fontId="0" fillId="0" borderId="15" xfId="0" applyNumberFormat="1" applyFont="1" applyFill="1" applyBorder="1" applyAlignment="1">
      <alignment horizontal="center" vertical="center"/>
    </xf>
    <xf numFmtId="0" fontId="0" fillId="0" borderId="16" xfId="0" quotePrefix="1" applyFont="1" applyFill="1" applyBorder="1" applyAlignment="1">
      <alignment horizontal="center" vertical="center"/>
    </xf>
    <xf numFmtId="178" fontId="0" fillId="0" borderId="16" xfId="0" applyNumberFormat="1" applyFont="1" applyFill="1" applyBorder="1" applyAlignment="1">
      <alignment horizontal="center" vertical="center"/>
    </xf>
    <xf numFmtId="0" fontId="0" fillId="0" borderId="25" xfId="0" applyFill="1" applyBorder="1">
      <alignment vertical="center"/>
    </xf>
    <xf numFmtId="178" fontId="23" fillId="0" borderId="27" xfId="0" applyNumberFormat="1" applyFont="1" applyFill="1" applyBorder="1">
      <alignment vertical="center"/>
    </xf>
    <xf numFmtId="2" fontId="0" fillId="0" borderId="23" xfId="0" applyNumberFormat="1" applyFont="1" applyFill="1" applyBorder="1" applyAlignment="1">
      <alignment horizontal="center" vertical="center"/>
    </xf>
    <xf numFmtId="178" fontId="23" fillId="0" borderId="28" xfId="0" applyNumberFormat="1" applyFont="1" applyFill="1" applyBorder="1">
      <alignment vertical="center"/>
    </xf>
    <xf numFmtId="2" fontId="0" fillId="0" borderId="29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177" fontId="22" fillId="0" borderId="23" xfId="0" applyNumberFormat="1" applyFont="1" applyFill="1" applyBorder="1">
      <alignment vertical="center"/>
    </xf>
    <xf numFmtId="177" fontId="22" fillId="0" borderId="30" xfId="0" applyNumberFormat="1" applyFont="1" applyFill="1" applyBorder="1">
      <alignment vertical="center"/>
    </xf>
    <xf numFmtId="2" fontId="0" fillId="0" borderId="15" xfId="0" applyNumberFormat="1" applyFill="1" applyBorder="1" applyAlignment="1">
      <alignment horizontal="center" vertical="center"/>
    </xf>
    <xf numFmtId="2" fontId="0" fillId="0" borderId="16" xfId="0" applyNumberForma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right" vertical="center"/>
    </xf>
    <xf numFmtId="182" fontId="0" fillId="0" borderId="0" xfId="0" applyNumberFormat="1">
      <alignment vertical="center"/>
    </xf>
    <xf numFmtId="0" fontId="24" fillId="0" borderId="29" xfId="0" applyFont="1" applyBorder="1">
      <alignment vertical="center"/>
    </xf>
    <xf numFmtId="0" fontId="23" fillId="0" borderId="27" xfId="0" applyFont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57" fillId="0" borderId="0" xfId="0" applyFont="1">
      <alignment vertical="center"/>
    </xf>
    <xf numFmtId="0" fontId="63" fillId="3" borderId="31" xfId="0" applyFont="1" applyFill="1" applyBorder="1" applyAlignment="1">
      <alignment horizontal="center" vertical="center"/>
    </xf>
    <xf numFmtId="178" fontId="23" fillId="4" borderId="25" xfId="0" applyNumberFormat="1" applyFont="1" applyFill="1" applyBorder="1">
      <alignment vertical="center"/>
    </xf>
    <xf numFmtId="0" fontId="63" fillId="3" borderId="22" xfId="0" applyFont="1" applyFill="1" applyBorder="1" applyAlignment="1">
      <alignment horizontal="center" vertical="center"/>
    </xf>
    <xf numFmtId="178" fontId="23" fillId="0" borderId="32" xfId="0" applyNumberFormat="1" applyFont="1" applyFill="1" applyBorder="1">
      <alignment vertical="center"/>
    </xf>
    <xf numFmtId="177" fontId="22" fillId="0" borderId="33" xfId="0" applyNumberFormat="1" applyFont="1" applyFill="1" applyBorder="1">
      <alignment vertical="center"/>
    </xf>
    <xf numFmtId="0" fontId="0" fillId="0" borderId="33" xfId="0" quotePrefix="1" applyFill="1" applyBorder="1">
      <alignment vertical="center"/>
    </xf>
    <xf numFmtId="178" fontId="0" fillId="0" borderId="33" xfId="0" applyNumberFormat="1" applyFill="1" applyBorder="1">
      <alignment vertical="center"/>
    </xf>
    <xf numFmtId="177" fontId="22" fillId="0" borderId="34" xfId="0" applyNumberFormat="1" applyFont="1" applyFill="1" applyBorder="1">
      <alignment vertical="center"/>
    </xf>
    <xf numFmtId="2" fontId="0" fillId="0" borderId="21" xfId="0" applyNumberFormat="1" applyFill="1" applyBorder="1" applyAlignment="1">
      <alignment horizontal="center" vertical="center"/>
    </xf>
    <xf numFmtId="0" fontId="46" fillId="0" borderId="21" xfId="0" quotePrefix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center" vertical="center"/>
    </xf>
    <xf numFmtId="2" fontId="15" fillId="0" borderId="21" xfId="0" applyNumberFormat="1" applyFont="1" applyFill="1" applyBorder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67" fillId="0" borderId="0" xfId="0" applyFont="1" applyAlignment="1">
      <alignment horizontal="left" vertical="center"/>
    </xf>
    <xf numFmtId="0" fontId="68" fillId="0" borderId="0" xfId="0" applyFont="1">
      <alignment vertical="center"/>
    </xf>
    <xf numFmtId="0" fontId="15" fillId="2" borderId="0" xfId="0" applyFont="1" applyFill="1">
      <alignment vertical="center"/>
    </xf>
    <xf numFmtId="176" fontId="70" fillId="0" borderId="0" xfId="0" applyNumberFormat="1" applyFont="1" applyAlignment="1">
      <alignment horizontal="right" vertical="center"/>
    </xf>
    <xf numFmtId="177" fontId="71" fillId="0" borderId="0" xfId="0" applyNumberFormat="1" applyFont="1">
      <alignment vertical="center"/>
    </xf>
    <xf numFmtId="0" fontId="66" fillId="3" borderId="0" xfId="0" applyFont="1" applyFill="1" applyAlignment="1">
      <alignment horizontal="left" vertical="center"/>
    </xf>
    <xf numFmtId="178" fontId="46" fillId="3" borderId="24" xfId="0" applyNumberFormat="1" applyFont="1" applyFill="1" applyBorder="1">
      <alignment vertical="center"/>
    </xf>
    <xf numFmtId="178" fontId="57" fillId="3" borderId="27" xfId="0" applyNumberFormat="1" applyFont="1" applyFill="1" applyBorder="1">
      <alignment vertical="center"/>
    </xf>
    <xf numFmtId="178" fontId="57" fillId="3" borderId="28" xfId="0" applyNumberFormat="1" applyFont="1" applyFill="1" applyBorder="1">
      <alignment vertical="center"/>
    </xf>
    <xf numFmtId="0" fontId="57" fillId="3" borderId="0" xfId="0" applyFont="1" applyFill="1">
      <alignment vertical="center"/>
    </xf>
    <xf numFmtId="0" fontId="17" fillId="0" borderId="0" xfId="0" applyFont="1" applyFill="1" applyAlignment="1">
      <alignment horizontal="right" vertical="center"/>
    </xf>
    <xf numFmtId="0" fontId="73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51" fillId="0" borderId="0" xfId="0" quotePrefix="1" applyFont="1">
      <alignment vertical="center"/>
    </xf>
    <xf numFmtId="0" fontId="59" fillId="0" borderId="0" xfId="0" applyFont="1">
      <alignment vertical="center"/>
    </xf>
    <xf numFmtId="2" fontId="0" fillId="0" borderId="14" xfId="0" applyNumberFormat="1" applyFont="1" applyBorder="1" applyAlignment="1">
      <alignment horizontal="center" vertical="center"/>
    </xf>
    <xf numFmtId="2" fontId="0" fillId="0" borderId="15" xfId="0" applyNumberFormat="1" applyFont="1" applyBorder="1" applyAlignment="1">
      <alignment horizontal="center" vertical="center"/>
    </xf>
    <xf numFmtId="2" fontId="0" fillId="0" borderId="16" xfId="0" applyNumberFormat="1" applyFont="1" applyBorder="1" applyAlignment="1">
      <alignment horizontal="center" vertical="center"/>
    </xf>
    <xf numFmtId="178" fontId="46" fillId="5" borderId="0" xfId="0" applyNumberFormat="1" applyFont="1" applyFill="1">
      <alignment vertical="center"/>
    </xf>
    <xf numFmtId="178" fontId="46" fillId="5" borderId="0" xfId="0" applyNumberFormat="1" applyFont="1" applyFill="1" applyAlignment="1">
      <alignment horizontal="right" vertical="center"/>
    </xf>
    <xf numFmtId="178" fontId="76" fillId="5" borderId="0" xfId="0" applyNumberFormat="1" applyFont="1" applyFill="1" applyAlignment="1">
      <alignment horizontal="right" vertical="center"/>
    </xf>
    <xf numFmtId="2" fontId="46" fillId="0" borderId="0" xfId="0" applyNumberFormat="1" applyFont="1">
      <alignment vertical="center"/>
    </xf>
    <xf numFmtId="0" fontId="22" fillId="0" borderId="9" xfId="0" applyFont="1" applyBorder="1" applyAlignment="1">
      <alignment horizontal="right" vertical="center"/>
    </xf>
    <xf numFmtId="0" fontId="78" fillId="0" borderId="5" xfId="0" applyFont="1" applyBorder="1" applyAlignment="1">
      <alignment horizontal="left" vertical="center"/>
    </xf>
    <xf numFmtId="0" fontId="22" fillId="0" borderId="0" xfId="0" applyFont="1" applyAlignment="1">
      <alignment horizontal="right" vertical="center"/>
    </xf>
    <xf numFmtId="181" fontId="75" fillId="4" borderId="0" xfId="0" applyNumberFormat="1" applyFont="1" applyFill="1">
      <alignment vertical="center"/>
    </xf>
    <xf numFmtId="178" fontId="52" fillId="4" borderId="18" xfId="0" applyNumberFormat="1" applyFont="1" applyFill="1" applyBorder="1">
      <alignment vertical="center"/>
    </xf>
    <xf numFmtId="178" fontId="79" fillId="4" borderId="0" xfId="0" applyNumberFormat="1" applyFont="1" applyFill="1">
      <alignment vertical="center"/>
    </xf>
    <xf numFmtId="178" fontId="0" fillId="0" borderId="0" xfId="0" applyNumberFormat="1" applyFont="1">
      <alignment vertical="center"/>
    </xf>
    <xf numFmtId="0" fontId="77" fillId="0" borderId="0" xfId="0" quotePrefix="1" applyFont="1">
      <alignment vertical="center"/>
    </xf>
    <xf numFmtId="0" fontId="67" fillId="0" borderId="0" xfId="0" applyFont="1">
      <alignment vertical="center"/>
    </xf>
    <xf numFmtId="178" fontId="23" fillId="0" borderId="0" xfId="0" applyNumberFormat="1" applyFont="1" applyFill="1" applyBorder="1">
      <alignment vertical="center"/>
    </xf>
    <xf numFmtId="178" fontId="15" fillId="0" borderId="0" xfId="0" applyNumberFormat="1" applyFont="1">
      <alignment vertical="center"/>
    </xf>
    <xf numFmtId="178" fontId="49" fillId="0" borderId="0" xfId="0" applyNumberFormat="1" applyFont="1">
      <alignment vertical="center"/>
    </xf>
    <xf numFmtId="0" fontId="80" fillId="0" borderId="0" xfId="0" applyFont="1">
      <alignment vertical="center"/>
    </xf>
    <xf numFmtId="178" fontId="80" fillId="0" borderId="0" xfId="0" applyNumberFormat="1" applyFont="1" applyAlignment="1">
      <alignment horizontal="center" vertical="center"/>
    </xf>
    <xf numFmtId="2" fontId="15" fillId="0" borderId="0" xfId="0" applyNumberFormat="1" applyFont="1">
      <alignment vertical="center"/>
    </xf>
    <xf numFmtId="0" fontId="24" fillId="5" borderId="1" xfId="0" applyFont="1" applyFill="1" applyBorder="1" applyAlignment="1">
      <alignment horizontal="left" vertical="center"/>
    </xf>
    <xf numFmtId="0" fontId="81" fillId="4" borderId="18" xfId="0" applyFont="1" applyFill="1" applyBorder="1">
      <alignment vertical="center"/>
    </xf>
    <xf numFmtId="0" fontId="0" fillId="5" borderId="1" xfId="0" applyFont="1" applyFill="1" applyBorder="1" applyAlignment="1">
      <alignment horizontal="left" vertical="center"/>
    </xf>
    <xf numFmtId="0" fontId="48" fillId="0" borderId="0" xfId="0" quotePrefix="1" applyFont="1">
      <alignment vertical="center"/>
    </xf>
    <xf numFmtId="0" fontId="20" fillId="2" borderId="0" xfId="0" applyFont="1" applyFill="1">
      <alignment vertical="center"/>
    </xf>
    <xf numFmtId="0" fontId="20" fillId="2" borderId="0" xfId="0" applyFont="1" applyFill="1" applyAlignment="1">
      <alignment horizontal="right" vertical="center"/>
    </xf>
    <xf numFmtId="178" fontId="26" fillId="2" borderId="3" xfId="0" applyNumberFormat="1" applyFont="1" applyFill="1" applyBorder="1">
      <alignment vertical="center"/>
    </xf>
    <xf numFmtId="178" fontId="26" fillId="2" borderId="0" xfId="0" applyNumberFormat="1" applyFont="1" applyFill="1" applyBorder="1">
      <alignment vertical="center"/>
    </xf>
    <xf numFmtId="0" fontId="42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8" fillId="0" borderId="4" xfId="0" applyFont="1" applyBorder="1" applyAlignment="1">
      <alignment horizontal="left" vertical="center"/>
    </xf>
    <xf numFmtId="0" fontId="53" fillId="0" borderId="0" xfId="0" applyFont="1">
      <alignment vertical="center"/>
    </xf>
    <xf numFmtId="0" fontId="0" fillId="5" borderId="1" xfId="0" applyFill="1" applyBorder="1">
      <alignment vertical="center"/>
    </xf>
    <xf numFmtId="0" fontId="22" fillId="0" borderId="10" xfId="0" applyFont="1" applyBorder="1" applyAlignment="1">
      <alignment horizontal="right" vertical="center"/>
    </xf>
    <xf numFmtId="0" fontId="78" fillId="0" borderId="8" xfId="0" applyFont="1" applyBorder="1" applyAlignment="1">
      <alignment horizontal="left" vertical="center"/>
    </xf>
    <xf numFmtId="0" fontId="0" fillId="5" borderId="9" xfId="0" applyFill="1" applyBorder="1">
      <alignment vertical="center"/>
    </xf>
    <xf numFmtId="0" fontId="0" fillId="5" borderId="10" xfId="0" applyFill="1" applyBorder="1">
      <alignment vertical="center"/>
    </xf>
    <xf numFmtId="0" fontId="69" fillId="0" borderId="0" xfId="0" applyFont="1">
      <alignment vertical="center"/>
    </xf>
    <xf numFmtId="0" fontId="56" fillId="2" borderId="0" xfId="0" applyFont="1" applyFill="1" applyAlignment="1">
      <alignment horizontal="right" vertical="center"/>
    </xf>
    <xf numFmtId="179" fontId="17" fillId="0" borderId="0" xfId="0" applyNumberFormat="1" applyFont="1">
      <alignment vertical="center"/>
    </xf>
    <xf numFmtId="180" fontId="17" fillId="0" borderId="0" xfId="0" applyNumberFormat="1" applyFont="1">
      <alignment vertical="center"/>
    </xf>
    <xf numFmtId="0" fontId="77" fillId="4" borderId="0" xfId="0" applyFont="1" applyFill="1" applyAlignment="1">
      <alignment horizontal="right" vertical="center"/>
    </xf>
    <xf numFmtId="0" fontId="7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/>
    </xf>
    <xf numFmtId="1" fontId="17" fillId="0" borderId="0" xfId="0" applyNumberFormat="1" applyFont="1">
      <alignment vertical="center"/>
    </xf>
    <xf numFmtId="2" fontId="72" fillId="0" borderId="0" xfId="0" applyNumberFormat="1" applyFont="1">
      <alignment vertical="center"/>
    </xf>
    <xf numFmtId="0" fontId="48" fillId="0" borderId="0" xfId="0" quotePrefix="1" applyFont="1" applyAlignment="1">
      <alignment horizontal="right" vertical="center"/>
    </xf>
    <xf numFmtId="178" fontId="46" fillId="0" borderId="0" xfId="0" applyNumberFormat="1" applyFont="1">
      <alignment vertical="center"/>
    </xf>
    <xf numFmtId="1" fontId="15" fillId="0" borderId="0" xfId="0" applyNumberFormat="1" applyFont="1">
      <alignment vertical="center"/>
    </xf>
    <xf numFmtId="2" fontId="45" fillId="0" borderId="0" xfId="0" applyNumberFormat="1" applyFont="1">
      <alignment vertical="center"/>
    </xf>
    <xf numFmtId="0" fontId="54" fillId="0" borderId="0" xfId="0" quotePrefix="1" applyFont="1" applyAlignment="1">
      <alignment horizontal="center" vertical="center"/>
    </xf>
    <xf numFmtId="178" fontId="45" fillId="0" borderId="0" xfId="0" applyNumberFormat="1" applyFont="1">
      <alignment vertical="center"/>
    </xf>
    <xf numFmtId="1" fontId="49" fillId="0" borderId="0" xfId="0" quotePrefix="1" applyNumberFormat="1" applyFont="1">
      <alignment vertical="center"/>
    </xf>
    <xf numFmtId="0" fontId="0" fillId="5" borderId="1" xfId="0" applyFont="1" applyFill="1" applyBorder="1">
      <alignment vertical="center"/>
    </xf>
    <xf numFmtId="0" fontId="58" fillId="0" borderId="0" xfId="0" quotePrefix="1" applyFont="1">
      <alignment vertical="center"/>
    </xf>
    <xf numFmtId="0" fontId="22" fillId="0" borderId="11" xfId="0" applyFont="1" applyBorder="1" applyAlignment="1">
      <alignment horizontal="right" vertical="center"/>
    </xf>
    <xf numFmtId="0" fontId="83" fillId="0" borderId="9" xfId="0" applyFont="1" applyBorder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83" fillId="0" borderId="10" xfId="0" applyFont="1" applyBorder="1" applyAlignment="1">
      <alignment horizontal="center" vertical="center"/>
    </xf>
    <xf numFmtId="0" fontId="83" fillId="0" borderId="11" xfId="0" applyFont="1" applyBorder="1" applyAlignment="1">
      <alignment horizontal="center" vertical="center"/>
    </xf>
    <xf numFmtId="0" fontId="74" fillId="0" borderId="0" xfId="0" applyFont="1">
      <alignment vertical="center"/>
    </xf>
    <xf numFmtId="0" fontId="61" fillId="0" borderId="0" xfId="0" applyFont="1">
      <alignment vertical="center"/>
    </xf>
    <xf numFmtId="0" fontId="82" fillId="6" borderId="4" xfId="0" applyFont="1" applyFill="1" applyBorder="1" applyAlignment="1">
      <alignment horizontal="left" vertical="center"/>
    </xf>
    <xf numFmtId="0" fontId="82" fillId="6" borderId="5" xfId="0" applyFont="1" applyFill="1" applyBorder="1" applyAlignment="1">
      <alignment horizontal="left" vertical="center"/>
    </xf>
    <xf numFmtId="0" fontId="82" fillId="6" borderId="8" xfId="0" applyFont="1" applyFill="1" applyBorder="1" applyAlignment="1">
      <alignment horizontal="left" vertical="center"/>
    </xf>
    <xf numFmtId="0" fontId="82" fillId="6" borderId="13" xfId="0" applyFont="1" applyFill="1" applyBorder="1" applyAlignment="1">
      <alignment horizontal="left" vertical="center"/>
    </xf>
    <xf numFmtId="0" fontId="55" fillId="6" borderId="0" xfId="0" applyFont="1" applyFill="1" applyBorder="1" applyAlignment="1">
      <alignment horizontal="left" vertical="center"/>
    </xf>
    <xf numFmtId="0" fontId="0" fillId="6" borderId="0" xfId="0" applyFill="1">
      <alignment vertical="center"/>
    </xf>
    <xf numFmtId="0" fontId="55" fillId="0" borderId="0" xfId="0" applyFont="1" applyAlignment="1">
      <alignment horizontal="left" vertical="center"/>
    </xf>
    <xf numFmtId="0" fontId="66" fillId="0" borderId="0" xfId="0" applyFont="1">
      <alignment vertical="center"/>
    </xf>
    <xf numFmtId="0" fontId="55" fillId="0" borderId="0" xfId="0" applyFont="1" applyAlignment="1">
      <alignment horizontal="right" vertical="center"/>
    </xf>
    <xf numFmtId="0" fontId="55" fillId="0" borderId="0" xfId="0" quotePrefix="1" applyFont="1" applyAlignment="1">
      <alignment horizontal="center" vertical="center"/>
    </xf>
    <xf numFmtId="177" fontId="17" fillId="7" borderId="0" xfId="0" applyNumberFormat="1" applyFont="1" applyFill="1">
      <alignment vertical="center"/>
    </xf>
    <xf numFmtId="177" fontId="51" fillId="7" borderId="0" xfId="0" applyNumberFormat="1" applyFont="1" applyFill="1">
      <alignment vertical="center"/>
    </xf>
    <xf numFmtId="0" fontId="84" fillId="0" borderId="0" xfId="0" applyFont="1">
      <alignment vertical="center"/>
    </xf>
    <xf numFmtId="1" fontId="15" fillId="3" borderId="19" xfId="0" applyNumberFormat="1" applyFont="1" applyFill="1" applyBorder="1">
      <alignment vertical="center"/>
    </xf>
    <xf numFmtId="0" fontId="17" fillId="5" borderId="13" xfId="0" applyFont="1" applyFill="1" applyBorder="1" applyAlignment="1">
      <alignment horizontal="right" vertical="center"/>
    </xf>
    <xf numFmtId="0" fontId="17" fillId="5" borderId="2" xfId="0" applyFont="1" applyFill="1" applyBorder="1" applyAlignment="1">
      <alignment horizontal="left" vertical="center"/>
    </xf>
    <xf numFmtId="0" fontId="17" fillId="5" borderId="36" xfId="0" quotePrefix="1" applyFont="1" applyFill="1" applyBorder="1" applyAlignment="1">
      <alignment horizontal="center" vertical="center"/>
    </xf>
    <xf numFmtId="0" fontId="17" fillId="5" borderId="38" xfId="0" quotePrefix="1" applyFont="1" applyFill="1" applyBorder="1" applyAlignment="1">
      <alignment horizontal="center" vertical="center"/>
    </xf>
    <xf numFmtId="0" fontId="17" fillId="5" borderId="39" xfId="0" quotePrefix="1" applyFont="1" applyFill="1" applyBorder="1" applyAlignment="1">
      <alignment horizontal="center" vertical="center"/>
    </xf>
    <xf numFmtId="0" fontId="17" fillId="5" borderId="40" xfId="0" quotePrefix="1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right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5" borderId="12" xfId="0" applyFont="1" applyFill="1" applyBorder="1" applyAlignment="1">
      <alignment horizontal="left" vertical="center"/>
    </xf>
    <xf numFmtId="0" fontId="17" fillId="6" borderId="17" xfId="0" applyFont="1" applyFill="1" applyBorder="1" applyAlignment="1">
      <alignment horizontal="left" vertical="center"/>
    </xf>
    <xf numFmtId="2" fontId="26" fillId="6" borderId="13" xfId="0" applyNumberFormat="1" applyFont="1" applyFill="1" applyBorder="1">
      <alignment vertical="center"/>
    </xf>
    <xf numFmtId="177" fontId="17" fillId="6" borderId="0" xfId="0" applyNumberFormat="1" applyFont="1" applyFill="1">
      <alignment vertical="center"/>
    </xf>
    <xf numFmtId="2" fontId="0" fillId="6" borderId="0" xfId="0" applyNumberFormat="1" applyFont="1" applyFill="1">
      <alignment vertical="center"/>
    </xf>
    <xf numFmtId="0" fontId="85" fillId="6" borderId="21" xfId="0" applyFont="1" applyFill="1" applyBorder="1" applyAlignment="1">
      <alignment horizontal="center" vertical="center"/>
    </xf>
    <xf numFmtId="0" fontId="17" fillId="6" borderId="20" xfId="0" quotePrefix="1" applyFont="1" applyFill="1" applyBorder="1" applyAlignment="1">
      <alignment horizontal="center" vertical="center"/>
    </xf>
    <xf numFmtId="0" fontId="17" fillId="6" borderId="19" xfId="0" quotePrefix="1" applyFont="1" applyFill="1" applyBorder="1" applyAlignment="1">
      <alignment horizontal="center" vertical="center"/>
    </xf>
    <xf numFmtId="0" fontId="54" fillId="6" borderId="0" xfId="0" quotePrefix="1" applyFont="1" applyFill="1" applyAlignment="1">
      <alignment horizontal="center" vertical="center"/>
    </xf>
    <xf numFmtId="2" fontId="0" fillId="0" borderId="4" xfId="0" applyNumberFormat="1" applyFont="1" applyFill="1" applyBorder="1">
      <alignment vertical="center"/>
    </xf>
    <xf numFmtId="2" fontId="0" fillId="0" borderId="8" xfId="0" applyNumberFormat="1" applyFont="1" applyFill="1" applyBorder="1">
      <alignment vertical="center"/>
    </xf>
    <xf numFmtId="0" fontId="0" fillId="6" borderId="0" xfId="0" applyFill="1" applyBorder="1">
      <alignment vertical="center"/>
    </xf>
    <xf numFmtId="0" fontId="55" fillId="6" borderId="0" xfId="0" applyFont="1" applyFill="1" applyBorder="1">
      <alignment vertical="center"/>
    </xf>
    <xf numFmtId="0" fontId="17" fillId="6" borderId="0" xfId="0" applyFont="1" applyFill="1" applyBorder="1" applyAlignment="1">
      <alignment horizontal="right" vertical="center"/>
    </xf>
    <xf numFmtId="0" fontId="17" fillId="6" borderId="0" xfId="0" applyFont="1" applyFill="1" applyBorder="1" applyAlignment="1">
      <alignment horizontal="center" vertical="center"/>
    </xf>
    <xf numFmtId="0" fontId="55" fillId="0" borderId="0" xfId="0" applyFont="1" applyFill="1" applyBorder="1">
      <alignment vertical="center"/>
    </xf>
    <xf numFmtId="0" fontId="86" fillId="0" borderId="0" xfId="0" applyFont="1" applyAlignment="1">
      <alignment horizontal="left" vertical="center"/>
    </xf>
    <xf numFmtId="0" fontId="33" fillId="3" borderId="4" xfId="0" applyFont="1" applyFill="1" applyBorder="1" applyAlignment="1">
      <alignment horizontal="center" vertical="center"/>
    </xf>
    <xf numFmtId="178" fontId="39" fillId="0" borderId="8" xfId="0" applyNumberFormat="1" applyFont="1" applyBorder="1">
      <alignment vertical="center"/>
    </xf>
    <xf numFmtId="0" fontId="55" fillId="0" borderId="0" xfId="0" applyFont="1" applyFill="1">
      <alignment vertical="center"/>
    </xf>
    <xf numFmtId="178" fontId="26" fillId="0" borderId="0" xfId="0" applyNumberFormat="1" applyFont="1" applyFill="1">
      <alignment vertical="center"/>
    </xf>
    <xf numFmtId="0" fontId="0" fillId="0" borderId="0" xfId="0" applyFill="1" applyAlignment="1">
      <alignment horizontal="left" vertical="center"/>
    </xf>
    <xf numFmtId="0" fontId="51" fillId="0" borderId="0" xfId="0" quotePrefix="1" applyFont="1" applyFill="1">
      <alignment vertical="center"/>
    </xf>
    <xf numFmtId="0" fontId="51" fillId="0" borderId="0" xfId="0" applyFont="1" applyFill="1">
      <alignment vertical="center"/>
    </xf>
    <xf numFmtId="0" fontId="54" fillId="0" borderId="0" xfId="0" applyFont="1" applyFill="1">
      <alignment vertical="center"/>
    </xf>
    <xf numFmtId="2" fontId="26" fillId="0" borderId="0" xfId="0" applyNumberFormat="1" applyFont="1" applyFill="1">
      <alignment vertical="center"/>
    </xf>
    <xf numFmtId="0" fontId="4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2" fontId="49" fillId="0" borderId="0" xfId="0" applyNumberFormat="1" applyFont="1" applyFill="1">
      <alignment vertical="center"/>
    </xf>
    <xf numFmtId="2" fontId="46" fillId="6" borderId="4" xfId="0" applyNumberFormat="1" applyFont="1" applyFill="1" applyBorder="1">
      <alignment vertical="center"/>
    </xf>
    <xf numFmtId="2" fontId="46" fillId="6" borderId="5" xfId="0" applyNumberFormat="1" applyFont="1" applyFill="1" applyBorder="1">
      <alignment vertical="center"/>
    </xf>
    <xf numFmtId="2" fontId="46" fillId="6" borderId="8" xfId="0" applyNumberFormat="1" applyFont="1" applyFill="1" applyBorder="1">
      <alignment vertical="center"/>
    </xf>
    <xf numFmtId="2" fontId="46" fillId="6" borderId="13" xfId="0" applyNumberFormat="1" applyFont="1" applyFill="1" applyBorder="1">
      <alignment vertical="center"/>
    </xf>
    <xf numFmtId="178" fontId="46" fillId="6" borderId="11" xfId="0" applyNumberFormat="1" applyFont="1" applyFill="1" applyBorder="1" applyAlignment="1">
      <alignment horizontal="right" vertical="center"/>
    </xf>
    <xf numFmtId="178" fontId="46" fillId="6" borderId="19" xfId="0" applyNumberFormat="1" applyFont="1" applyFill="1" applyBorder="1">
      <alignment vertical="center"/>
    </xf>
    <xf numFmtId="178" fontId="15" fillId="5" borderId="35" xfId="0" applyNumberFormat="1" applyFont="1" applyFill="1" applyBorder="1">
      <alignment vertical="center"/>
    </xf>
    <xf numFmtId="2" fontId="15" fillId="5" borderId="36" xfId="0" applyNumberFormat="1" applyFont="1" applyFill="1" applyBorder="1">
      <alignment vertical="center"/>
    </xf>
    <xf numFmtId="2" fontId="15" fillId="5" borderId="37" xfId="0" applyNumberFormat="1" applyFont="1" applyFill="1" applyBorder="1">
      <alignment vertical="center"/>
    </xf>
    <xf numFmtId="2" fontId="15" fillId="5" borderId="39" xfId="0" applyNumberFormat="1" applyFont="1" applyFill="1" applyBorder="1">
      <alignment vertical="center"/>
    </xf>
    <xf numFmtId="178" fontId="49" fillId="6" borderId="0" xfId="0" quotePrefix="1" applyNumberFormat="1" applyFont="1" applyFill="1">
      <alignment vertical="center"/>
    </xf>
    <xf numFmtId="178" fontId="55" fillId="0" borderId="0" xfId="0" applyNumberFormat="1" applyFont="1">
      <alignment vertical="center"/>
    </xf>
    <xf numFmtId="0" fontId="17" fillId="6" borderId="3" xfId="0" applyFont="1" applyFill="1" applyBorder="1" applyAlignment="1">
      <alignment horizontal="center" vertical="center"/>
    </xf>
    <xf numFmtId="0" fontId="87" fillId="6" borderId="3" xfId="0" applyFont="1" applyFill="1" applyBorder="1" applyAlignment="1">
      <alignment horizontal="center" vertical="center"/>
    </xf>
    <xf numFmtId="0" fontId="87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2" fontId="15" fillId="5" borderId="41" xfId="0" applyNumberFormat="1" applyFont="1" applyFill="1" applyBorder="1">
      <alignment vertical="center"/>
    </xf>
    <xf numFmtId="178" fontId="50" fillId="6" borderId="0" xfId="0" applyNumberFormat="1" applyFont="1" applyFill="1">
      <alignment vertical="center"/>
    </xf>
    <xf numFmtId="0" fontId="88" fillId="0" borderId="0" xfId="0" applyFont="1" applyAlignment="1">
      <alignment horizontal="left" vertical="center"/>
    </xf>
  </cellXfs>
  <cellStyles count="92">
    <cellStyle name="Normal_calc" xfId="1" xr:uid="{00000000-0005-0000-0000-000000000000}"/>
    <cellStyle name="パーセント 2" xfId="13" xr:uid="{00000000-0005-0000-0000-000001000000}"/>
    <cellStyle name="桁区切り 2" xfId="9" xr:uid="{00000000-0005-0000-0000-000003000000}"/>
    <cellStyle name="桁区切り 2 2" xfId="22" xr:uid="{00000000-0005-0000-0000-000004000000}"/>
    <cellStyle name="桁区切り 2 2 2" xfId="45" xr:uid="{00000000-0005-0000-0000-000005000000}"/>
    <cellStyle name="桁区切り 2 2 3" xfId="53" xr:uid="{00000000-0005-0000-0000-000006000000}"/>
    <cellStyle name="桁区切り 2 2 4" xfId="54" xr:uid="{00000000-0005-0000-0000-000007000000}"/>
    <cellStyle name="桁区切り 2 3" xfId="24" xr:uid="{00000000-0005-0000-0000-000008000000}"/>
    <cellStyle name="桁区切り 2 4" xfId="28" xr:uid="{00000000-0005-0000-0000-000009000000}"/>
    <cellStyle name="桁区切り 2 5" xfId="39" xr:uid="{00000000-0005-0000-0000-00000A000000}"/>
    <cellStyle name="桁区切り 2 6" xfId="55" xr:uid="{00000000-0005-0000-0000-00000B000000}"/>
    <cellStyle name="桁区切り 2 7" xfId="56" xr:uid="{00000000-0005-0000-0000-00000C000000}"/>
    <cellStyle name="標準" xfId="0" builtinId="0"/>
    <cellStyle name="標準 10" xfId="16" xr:uid="{00000000-0005-0000-0000-00000E000000}"/>
    <cellStyle name="標準 2" xfId="2" xr:uid="{00000000-0005-0000-0000-00000F000000}"/>
    <cellStyle name="標準 2 2" xfId="14" xr:uid="{00000000-0005-0000-0000-000010000000}"/>
    <cellStyle name="標準 2 3" xfId="29" xr:uid="{00000000-0005-0000-0000-000011000000}"/>
    <cellStyle name="標準 2 3 2" xfId="49" xr:uid="{00000000-0005-0000-0000-000012000000}"/>
    <cellStyle name="標準 2 3 3" xfId="57" xr:uid="{00000000-0005-0000-0000-000013000000}"/>
    <cellStyle name="標準 2 3 4" xfId="58" xr:uid="{00000000-0005-0000-0000-000014000000}"/>
    <cellStyle name="標準 2 4" xfId="89" xr:uid="{00000000-0005-0000-0000-000015000000}"/>
    <cellStyle name="標準 3" xfId="3" xr:uid="{00000000-0005-0000-0000-000016000000}"/>
    <cellStyle name="標準 3 2" xfId="12" xr:uid="{00000000-0005-0000-0000-000017000000}"/>
    <cellStyle name="標準 3 2 2" xfId="17" xr:uid="{00000000-0005-0000-0000-000018000000}"/>
    <cellStyle name="標準 3 2 3" xfId="40" xr:uid="{00000000-0005-0000-0000-000019000000}"/>
    <cellStyle name="標準 3 2 4" xfId="59" xr:uid="{00000000-0005-0000-0000-00001A000000}"/>
    <cellStyle name="標準 3 2 5" xfId="60" xr:uid="{00000000-0005-0000-0000-00001B000000}"/>
    <cellStyle name="標準 3 2 6" xfId="87" xr:uid="{00000000-0005-0000-0000-00001C000000}"/>
    <cellStyle name="標準 3 2 7" xfId="90" xr:uid="{00000000-0005-0000-0000-00001D000000}"/>
    <cellStyle name="標準 3 3" xfId="15" xr:uid="{00000000-0005-0000-0000-00001E000000}"/>
    <cellStyle name="標準 3 3 2" xfId="41" xr:uid="{00000000-0005-0000-0000-00001F000000}"/>
    <cellStyle name="標準 3 3 3" xfId="61" xr:uid="{00000000-0005-0000-0000-000020000000}"/>
    <cellStyle name="標準 3 3 4" xfId="62" xr:uid="{00000000-0005-0000-0000-000021000000}"/>
    <cellStyle name="標準 3 3 5" xfId="88" xr:uid="{00000000-0005-0000-0000-000022000000}"/>
    <cellStyle name="標準 3 3 6" xfId="91" xr:uid="{00000000-0005-0000-0000-000023000000}"/>
    <cellStyle name="標準 3 4" xfId="18" xr:uid="{00000000-0005-0000-0000-000024000000}"/>
    <cellStyle name="標準 3 5" xfId="30" xr:uid="{00000000-0005-0000-0000-000025000000}"/>
    <cellStyle name="標準 3 5 2" xfId="50" xr:uid="{00000000-0005-0000-0000-000026000000}"/>
    <cellStyle name="標準 3 5 3" xfId="63" xr:uid="{00000000-0005-0000-0000-000027000000}"/>
    <cellStyle name="標準 3 5 4" xfId="64" xr:uid="{00000000-0005-0000-0000-000028000000}"/>
    <cellStyle name="標準 4" xfId="4" xr:uid="{00000000-0005-0000-0000-000029000000}"/>
    <cellStyle name="標準 4 2" xfId="31" xr:uid="{00000000-0005-0000-0000-00002A000000}"/>
    <cellStyle name="標準 4 2 2" xfId="51" xr:uid="{00000000-0005-0000-0000-00002B000000}"/>
    <cellStyle name="標準 4 2 3" xfId="65" xr:uid="{00000000-0005-0000-0000-00002C000000}"/>
    <cellStyle name="標準 4 2 4" xfId="66" xr:uid="{00000000-0005-0000-0000-00002D000000}"/>
    <cellStyle name="標準 5" xfId="5" xr:uid="{00000000-0005-0000-0000-00002E000000}"/>
    <cellStyle name="標準 5 2" xfId="10" xr:uid="{00000000-0005-0000-0000-00002F000000}"/>
    <cellStyle name="標準 5 3" xfId="23" xr:uid="{00000000-0005-0000-0000-000030000000}"/>
    <cellStyle name="標準 5 4" xfId="32" xr:uid="{00000000-0005-0000-0000-000031000000}"/>
    <cellStyle name="標準 5 4 2" xfId="52" xr:uid="{00000000-0005-0000-0000-000032000000}"/>
    <cellStyle name="標準 5 4 3" xfId="67" xr:uid="{00000000-0005-0000-0000-000033000000}"/>
    <cellStyle name="標準 5 4 4" xfId="68" xr:uid="{00000000-0005-0000-0000-000034000000}"/>
    <cellStyle name="標準 6" xfId="7" xr:uid="{00000000-0005-0000-0000-000035000000}"/>
    <cellStyle name="標準 6 2" xfId="20" xr:uid="{00000000-0005-0000-0000-000036000000}"/>
    <cellStyle name="標準 6 2 2" xfId="43" xr:uid="{00000000-0005-0000-0000-000037000000}"/>
    <cellStyle name="標準 6 2 3" xfId="69" xr:uid="{00000000-0005-0000-0000-000038000000}"/>
    <cellStyle name="標準 6 2 4" xfId="70" xr:uid="{00000000-0005-0000-0000-000039000000}"/>
    <cellStyle name="標準 6 3" xfId="25" xr:uid="{00000000-0005-0000-0000-00003A000000}"/>
    <cellStyle name="標準 6 3 2" xfId="46" xr:uid="{00000000-0005-0000-0000-00003B000000}"/>
    <cellStyle name="標準 6 3 3" xfId="71" xr:uid="{00000000-0005-0000-0000-00003C000000}"/>
    <cellStyle name="標準 6 3 4" xfId="72" xr:uid="{00000000-0005-0000-0000-00003D000000}"/>
    <cellStyle name="標準 6 4" xfId="33" xr:uid="{00000000-0005-0000-0000-00003E000000}"/>
    <cellStyle name="標準 6 5" xfId="37" xr:uid="{00000000-0005-0000-0000-00003F000000}"/>
    <cellStyle name="標準 6 6" xfId="73" xr:uid="{00000000-0005-0000-0000-000040000000}"/>
    <cellStyle name="標準 6 7" xfId="74" xr:uid="{00000000-0005-0000-0000-000041000000}"/>
    <cellStyle name="標準 7" xfId="6" xr:uid="{00000000-0005-0000-0000-000042000000}"/>
    <cellStyle name="標準 7 2" xfId="19" xr:uid="{00000000-0005-0000-0000-000043000000}"/>
    <cellStyle name="標準 7 2 2" xfId="42" xr:uid="{00000000-0005-0000-0000-000044000000}"/>
    <cellStyle name="標準 7 2 3" xfId="75" xr:uid="{00000000-0005-0000-0000-000045000000}"/>
    <cellStyle name="標準 7 2 4" xfId="76" xr:uid="{00000000-0005-0000-0000-000046000000}"/>
    <cellStyle name="標準 7 3" xfId="26" xr:uid="{00000000-0005-0000-0000-000047000000}"/>
    <cellStyle name="標準 7 3 2" xfId="47" xr:uid="{00000000-0005-0000-0000-000048000000}"/>
    <cellStyle name="標準 7 3 3" xfId="77" xr:uid="{00000000-0005-0000-0000-000049000000}"/>
    <cellStyle name="標準 7 3 4" xfId="78" xr:uid="{00000000-0005-0000-0000-00004A000000}"/>
    <cellStyle name="標準 7 4" xfId="34" xr:uid="{00000000-0005-0000-0000-00004B000000}"/>
    <cellStyle name="標準 7 5" xfId="36" xr:uid="{00000000-0005-0000-0000-00004C000000}"/>
    <cellStyle name="標準 7 6" xfId="79" xr:uid="{00000000-0005-0000-0000-00004D000000}"/>
    <cellStyle name="標準 7 7" xfId="80" xr:uid="{00000000-0005-0000-0000-00004E000000}"/>
    <cellStyle name="標準 8" xfId="8" xr:uid="{00000000-0005-0000-0000-00004F000000}"/>
    <cellStyle name="標準 8 2" xfId="21" xr:uid="{00000000-0005-0000-0000-000050000000}"/>
    <cellStyle name="標準 8 2 2" xfId="44" xr:uid="{00000000-0005-0000-0000-000051000000}"/>
    <cellStyle name="標準 8 2 3" xfId="81" xr:uid="{00000000-0005-0000-0000-000052000000}"/>
    <cellStyle name="標準 8 2 4" xfId="82" xr:uid="{00000000-0005-0000-0000-000053000000}"/>
    <cellStyle name="標準 8 3" xfId="27" xr:uid="{00000000-0005-0000-0000-000054000000}"/>
    <cellStyle name="標準 8 3 2" xfId="48" xr:uid="{00000000-0005-0000-0000-000055000000}"/>
    <cellStyle name="標準 8 3 3" xfId="83" xr:uid="{00000000-0005-0000-0000-000056000000}"/>
    <cellStyle name="標準 8 3 4" xfId="84" xr:uid="{00000000-0005-0000-0000-000057000000}"/>
    <cellStyle name="標準 8 4" xfId="35" xr:uid="{00000000-0005-0000-0000-000058000000}"/>
    <cellStyle name="標準 8 5" xfId="38" xr:uid="{00000000-0005-0000-0000-000059000000}"/>
    <cellStyle name="標準 8 6" xfId="85" xr:uid="{00000000-0005-0000-0000-00005A000000}"/>
    <cellStyle name="標準 8 7" xfId="86" xr:uid="{00000000-0005-0000-0000-00005B000000}"/>
    <cellStyle name="標準 9" xfId="11" xr:uid="{00000000-0005-0000-0000-00005C000000}"/>
  </cellStyles>
  <dxfs count="0"/>
  <tableStyles count="0" defaultTableStyle="TableStyleMedium9" defaultPivotStyle="PivotStyleLight16"/>
  <colors>
    <mruColors>
      <color rgb="FFCCFFFF"/>
      <color rgb="FFFFFFCC"/>
      <color rgb="FF0000FF"/>
      <color rgb="FFFF00FF"/>
      <color rgb="FFCCFF99"/>
      <color rgb="FFCCECFF"/>
      <color rgb="FFCCFFCC"/>
      <color rgb="FFFF6600"/>
      <color rgb="FF008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85725</xdr:colOff>
      <xdr:row>4</xdr:row>
      <xdr:rowOff>149767</xdr:rowOff>
    </xdr:from>
    <xdr:to>
      <xdr:col>21</xdr:col>
      <xdr:colOff>480854</xdr:colOff>
      <xdr:row>18</xdr:row>
      <xdr:rowOff>257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91511A-C9E6-4FC8-87F6-B69434F5D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978442"/>
          <a:ext cx="3547904" cy="2212690"/>
        </a:xfrm>
        <a:prstGeom prst="rect">
          <a:avLst/>
        </a:prstGeom>
        <a:solidFill>
          <a:schemeClr val="bg1"/>
        </a:solidFill>
        <a:ln w="19050">
          <a:solidFill>
            <a:srgbClr val="0070C0"/>
          </a:solidFill>
        </a:ln>
      </xdr:spPr>
    </xdr:pic>
    <xdr:clientData/>
  </xdr:twoCellAnchor>
  <xdr:twoCellAnchor editAs="oneCell">
    <xdr:from>
      <xdr:col>14</xdr:col>
      <xdr:colOff>114300</xdr:colOff>
      <xdr:row>18</xdr:row>
      <xdr:rowOff>123825</xdr:rowOff>
    </xdr:from>
    <xdr:to>
      <xdr:col>18</xdr:col>
      <xdr:colOff>161864</xdr:colOff>
      <xdr:row>29</xdr:row>
      <xdr:rowOff>10935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C2C8542-2806-4302-987F-D83DF335E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3314700"/>
          <a:ext cx="2066864" cy="1839735"/>
        </a:xfrm>
        <a:prstGeom prst="rect">
          <a:avLst/>
        </a:prstGeom>
        <a:ln w="19050">
          <a:solidFill>
            <a:srgbClr val="FF00FF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SRIMfi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Log"/>
      <sheetName val="FncHelp"/>
      <sheetName val="FncLst1_J"/>
      <sheetName val="FncLst2a_J "/>
      <sheetName val="FncLst2b_J"/>
      <sheetName val="FncLst1_E"/>
      <sheetName val="FncLst2a_E"/>
      <sheetName val="FncLst2b_E"/>
    </sheetNames>
    <definedNames>
      <definedName name="srE2LETt"/>
      <definedName name="srE2Rng"/>
      <definedName name="srEnew"/>
      <definedName name="srEnewGas"/>
      <definedName name="srEold"/>
      <definedName name="srEoldGas"/>
      <definedName name="srInfoIonA"/>
      <definedName name="srInfoIonZ"/>
      <definedName name="srLETt2Eh"/>
      <definedName name="srMaxLETt"/>
      <definedName name="srThkStd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136"/>
  <sheetViews>
    <sheetView zoomScale="80" zoomScaleNormal="80" workbookViewId="0">
      <selection activeCell="L36" sqref="L36"/>
    </sheetView>
  </sheetViews>
  <sheetFormatPr defaultColWidth="9" defaultRowHeight="13.5"/>
  <cols>
    <col min="1" max="1" width="2.875" style="40" customWidth="1"/>
    <col min="2" max="2" width="12" style="49" customWidth="1"/>
    <col min="3" max="3" width="9.25" style="40" customWidth="1"/>
    <col min="4" max="4" width="7.625" style="40" customWidth="1"/>
    <col min="5" max="5" width="9.25" style="40" customWidth="1"/>
    <col min="6" max="6" width="2.875" style="8" customWidth="1"/>
    <col min="7" max="8" width="7.375" style="40" customWidth="1"/>
    <col min="9" max="9" width="4.375" style="40" customWidth="1"/>
    <col min="10" max="10" width="9" style="40"/>
    <col min="11" max="11" width="22.125" style="40" customWidth="1"/>
    <col min="12" max="12" width="15" style="40" customWidth="1"/>
    <col min="13" max="16" width="4.25" style="40" customWidth="1"/>
    <col min="17" max="16384" width="9" style="40"/>
  </cols>
  <sheetData>
    <row r="1" spans="2:13" ht="17.25">
      <c r="B1" s="47" t="s">
        <v>15</v>
      </c>
      <c r="C1" s="48" t="s">
        <v>16</v>
      </c>
    </row>
    <row r="2" spans="2:13" ht="17.25">
      <c r="B2" s="49" t="s">
        <v>145</v>
      </c>
      <c r="D2" s="50" t="s">
        <v>373</v>
      </c>
      <c r="F2" s="51"/>
    </row>
    <row r="3" spans="2:13">
      <c r="C3" s="40" t="s">
        <v>69</v>
      </c>
    </row>
    <row r="4" spans="2:13">
      <c r="C4" s="40" t="s">
        <v>122</v>
      </c>
    </row>
    <row r="5" spans="2:13">
      <c r="C5" s="40" t="s">
        <v>123</v>
      </c>
    </row>
    <row r="6" spans="2:13">
      <c r="B6" s="47"/>
      <c r="C6" s="39"/>
      <c r="D6" s="6"/>
      <c r="E6" s="5"/>
      <c r="F6" s="28"/>
    </row>
    <row r="7" spans="2:13" ht="14.25">
      <c r="B7" s="54"/>
      <c r="C7" s="55" t="s">
        <v>11</v>
      </c>
      <c r="D7" s="37" t="s">
        <v>5</v>
      </c>
      <c r="E7" s="11" t="s">
        <v>4</v>
      </c>
      <c r="F7" s="9"/>
      <c r="L7" s="298" t="s">
        <v>317</v>
      </c>
    </row>
    <row r="8" spans="2:13">
      <c r="B8" s="54"/>
      <c r="C8" s="57" t="s">
        <v>146</v>
      </c>
      <c r="D8" s="58" t="s">
        <v>0</v>
      </c>
      <c r="E8" s="15" t="s">
        <v>0</v>
      </c>
      <c r="F8" s="29"/>
    </row>
    <row r="9" spans="2:13">
      <c r="B9" s="61" t="s">
        <v>147</v>
      </c>
      <c r="C9" s="26">
        <v>1</v>
      </c>
      <c r="D9" s="46">
        <v>10.199999999999999</v>
      </c>
      <c r="E9" s="62" t="s">
        <v>14</v>
      </c>
      <c r="F9" s="31"/>
      <c r="L9" s="40" t="s">
        <v>376</v>
      </c>
      <c r="M9" s="40" t="s">
        <v>377</v>
      </c>
    </row>
    <row r="10" spans="2:13">
      <c r="B10" s="61"/>
      <c r="C10" s="26">
        <v>2</v>
      </c>
      <c r="D10" s="46">
        <v>12.8</v>
      </c>
      <c r="E10" s="66">
        <v>12.8</v>
      </c>
      <c r="F10" s="31"/>
      <c r="M10" s="40" t="s">
        <v>378</v>
      </c>
    </row>
    <row r="11" spans="2:13">
      <c r="B11" s="61"/>
      <c r="C11" s="26">
        <v>3</v>
      </c>
      <c r="D11" s="46">
        <v>23.8</v>
      </c>
      <c r="E11" s="66">
        <v>23.8</v>
      </c>
      <c r="F11" s="31"/>
    </row>
    <row r="12" spans="2:13">
      <c r="B12" s="61"/>
      <c r="C12" s="26">
        <v>4</v>
      </c>
      <c r="D12" s="46">
        <v>48.59</v>
      </c>
      <c r="E12" s="66">
        <v>48.59</v>
      </c>
      <c r="F12" s="31"/>
    </row>
    <row r="13" spans="2:13">
      <c r="B13" s="61"/>
      <c r="C13" s="26">
        <v>5</v>
      </c>
      <c r="D13" s="46">
        <v>100.24</v>
      </c>
      <c r="E13" s="66">
        <v>100.24</v>
      </c>
      <c r="F13" s="31"/>
    </row>
    <row r="14" spans="2:13">
      <c r="B14" s="61"/>
      <c r="C14" s="26">
        <v>6</v>
      </c>
      <c r="D14" s="46">
        <v>100.8</v>
      </c>
      <c r="E14" s="66">
        <v>100.8</v>
      </c>
      <c r="F14" s="31"/>
    </row>
    <row r="15" spans="2:13">
      <c r="B15" s="61"/>
      <c r="C15" s="27">
        <v>7</v>
      </c>
      <c r="D15" s="46">
        <v>196.39</v>
      </c>
      <c r="E15" s="66">
        <v>196.39</v>
      </c>
      <c r="F15" s="31"/>
    </row>
    <row r="16" spans="2:13">
      <c r="B16" s="61"/>
      <c r="C16" s="26">
        <v>8</v>
      </c>
      <c r="D16" s="46">
        <v>485.95</v>
      </c>
      <c r="E16" s="66">
        <v>485.95</v>
      </c>
      <c r="F16" s="31"/>
    </row>
    <row r="17" spans="2:17">
      <c r="B17" s="70"/>
      <c r="C17" s="71">
        <v>9</v>
      </c>
      <c r="D17" s="45">
        <v>5000</v>
      </c>
      <c r="E17" s="72">
        <v>5000</v>
      </c>
      <c r="F17" s="73"/>
    </row>
    <row r="18" spans="2:17">
      <c r="B18" s="61"/>
      <c r="C18" s="26" t="s">
        <v>148</v>
      </c>
      <c r="D18" s="46">
        <v>5.48</v>
      </c>
      <c r="E18" s="74">
        <v>5.48</v>
      </c>
      <c r="F18" s="31"/>
    </row>
    <row r="19" spans="2:17">
      <c r="B19" s="47"/>
      <c r="C19" s="26" t="s">
        <v>149</v>
      </c>
      <c r="D19" s="46">
        <v>975.39</v>
      </c>
      <c r="E19" s="74">
        <v>975.39</v>
      </c>
      <c r="F19" s="31"/>
    </row>
    <row r="20" spans="2:17">
      <c r="B20" s="47"/>
      <c r="C20" s="80" t="s">
        <v>150</v>
      </c>
      <c r="D20" s="42">
        <v>2000</v>
      </c>
      <c r="E20" s="81">
        <v>2000</v>
      </c>
      <c r="F20" s="31"/>
      <c r="L20" s="41"/>
      <c r="M20" s="41"/>
      <c r="N20" s="41"/>
      <c r="O20" s="41"/>
      <c r="P20" s="41"/>
      <c r="Q20" s="41"/>
    </row>
    <row r="21" spans="2:17">
      <c r="B21" s="47"/>
      <c r="E21" s="41"/>
      <c r="L21" s="41"/>
      <c r="M21" s="41"/>
      <c r="N21" s="41"/>
      <c r="O21" s="41"/>
      <c r="P21" s="41"/>
      <c r="Q21" s="41"/>
    </row>
    <row r="22" spans="2:17">
      <c r="B22" s="47"/>
      <c r="C22" s="20" t="s">
        <v>151</v>
      </c>
      <c r="D22" s="10" t="s">
        <v>5</v>
      </c>
      <c r="E22" s="38" t="s">
        <v>13</v>
      </c>
      <c r="F22" s="9"/>
      <c r="L22" s="41"/>
      <c r="M22" s="41"/>
      <c r="N22" s="41"/>
      <c r="O22" s="41"/>
      <c r="P22" s="41"/>
      <c r="Q22" s="41"/>
    </row>
    <row r="23" spans="2:17">
      <c r="B23" s="47"/>
      <c r="C23" s="21" t="s">
        <v>10</v>
      </c>
      <c r="D23" s="14" t="s">
        <v>152</v>
      </c>
      <c r="E23" s="15" t="s">
        <v>152</v>
      </c>
      <c r="F23" s="29"/>
      <c r="G23" s="131" t="s">
        <v>235</v>
      </c>
      <c r="H23" s="35" t="s">
        <v>236</v>
      </c>
      <c r="L23" s="41"/>
      <c r="M23" s="41"/>
      <c r="N23" s="41"/>
      <c r="O23" s="41"/>
      <c r="P23" s="41"/>
      <c r="Q23" s="41"/>
    </row>
    <row r="24" spans="2:17">
      <c r="B24" s="47" t="s">
        <v>153</v>
      </c>
      <c r="C24" s="82" t="s">
        <v>154</v>
      </c>
      <c r="D24" s="311">
        <v>73</v>
      </c>
      <c r="E24" s="44">
        <v>50</v>
      </c>
      <c r="F24" s="30"/>
      <c r="G24" s="300">
        <v>73</v>
      </c>
      <c r="H24" s="300">
        <v>48.8</v>
      </c>
      <c r="J24" s="281"/>
      <c r="L24" s="41"/>
      <c r="M24" s="41"/>
      <c r="N24" s="41"/>
      <c r="O24" s="41"/>
      <c r="P24" s="41"/>
      <c r="Q24" s="41"/>
    </row>
    <row r="25" spans="2:17">
      <c r="B25" s="47" t="s">
        <v>155</v>
      </c>
      <c r="C25" s="24" t="s">
        <v>156</v>
      </c>
      <c r="D25" s="312">
        <v>78</v>
      </c>
      <c r="E25" s="1">
        <v>75</v>
      </c>
      <c r="F25" s="30"/>
      <c r="G25" s="296">
        <v>78</v>
      </c>
      <c r="H25" s="296">
        <v>78</v>
      </c>
      <c r="J25" s="281"/>
    </row>
    <row r="26" spans="2:17">
      <c r="B26" s="47" t="s">
        <v>319</v>
      </c>
      <c r="C26" s="307" t="s">
        <v>309</v>
      </c>
      <c r="D26" s="84">
        <v>14</v>
      </c>
      <c r="E26" s="1">
        <v>14</v>
      </c>
      <c r="F26" s="30"/>
      <c r="G26" s="296"/>
      <c r="H26" s="296"/>
      <c r="J26" s="281"/>
    </row>
    <row r="27" spans="2:17">
      <c r="B27" s="47" t="s">
        <v>157</v>
      </c>
      <c r="C27" s="24" t="s">
        <v>158</v>
      </c>
      <c r="D27" s="84">
        <v>25.6</v>
      </c>
      <c r="E27" s="1">
        <v>25.6</v>
      </c>
      <c r="F27" s="30"/>
      <c r="G27" s="296">
        <v>25.6</v>
      </c>
      <c r="H27" s="296">
        <v>25.6</v>
      </c>
      <c r="I27" s="282"/>
    </row>
    <row r="28" spans="2:17">
      <c r="B28" s="47" t="s">
        <v>159</v>
      </c>
      <c r="C28" s="24" t="s">
        <v>9</v>
      </c>
      <c r="D28" s="84">
        <v>33.799999999999997</v>
      </c>
      <c r="E28" s="1">
        <v>33.799999999999997</v>
      </c>
      <c r="F28" s="30"/>
      <c r="G28" s="296">
        <v>33.799999999999997</v>
      </c>
      <c r="H28" s="296">
        <v>33.799999999999997</v>
      </c>
      <c r="J28" s="281"/>
    </row>
    <row r="29" spans="2:17">
      <c r="B29" s="47" t="s">
        <v>343</v>
      </c>
      <c r="C29" s="305" t="s">
        <v>342</v>
      </c>
      <c r="D29" s="299">
        <v>30</v>
      </c>
      <c r="E29" s="1" t="s">
        <v>344</v>
      </c>
      <c r="F29" s="30"/>
      <c r="G29" s="296"/>
      <c r="H29" s="296"/>
      <c r="J29" s="308"/>
    </row>
    <row r="30" spans="2:17">
      <c r="B30" s="47" t="s">
        <v>160</v>
      </c>
      <c r="C30" s="24" t="s">
        <v>161</v>
      </c>
      <c r="D30" s="312">
        <v>500</v>
      </c>
      <c r="E30" s="1">
        <v>100</v>
      </c>
      <c r="F30" s="30"/>
      <c r="G30" s="296">
        <v>500</v>
      </c>
      <c r="H30" s="296">
        <v>100</v>
      </c>
      <c r="J30" s="281"/>
    </row>
    <row r="31" spans="2:17">
      <c r="B31" s="47"/>
      <c r="C31" s="25"/>
      <c r="D31" s="12" t="s">
        <v>162</v>
      </c>
      <c r="E31" s="13" t="s">
        <v>162</v>
      </c>
      <c r="F31" s="9"/>
      <c r="G31" s="110"/>
      <c r="H31" s="110"/>
    </row>
    <row r="32" spans="2:17">
      <c r="B32" s="47" t="s">
        <v>163</v>
      </c>
      <c r="C32" s="83" t="s">
        <v>164</v>
      </c>
      <c r="D32" s="84">
        <v>145</v>
      </c>
      <c r="E32" s="132" t="s">
        <v>46</v>
      </c>
      <c r="F32" s="36"/>
      <c r="G32" s="296">
        <v>145</v>
      </c>
      <c r="H32" s="296">
        <v>145</v>
      </c>
    </row>
    <row r="33" spans="2:8">
      <c r="B33" s="47" t="s">
        <v>48</v>
      </c>
      <c r="C33" s="53" t="s">
        <v>165</v>
      </c>
      <c r="D33" s="133">
        <v>200</v>
      </c>
      <c r="E33" s="134" t="s">
        <v>49</v>
      </c>
      <c r="F33" s="36"/>
      <c r="G33" s="296">
        <v>160</v>
      </c>
      <c r="H33" s="296">
        <v>160</v>
      </c>
    </row>
    <row r="34" spans="2:8">
      <c r="B34" s="47" t="s">
        <v>166</v>
      </c>
      <c r="C34" s="100" t="s">
        <v>82</v>
      </c>
      <c r="D34" s="135"/>
      <c r="E34" s="101" t="s">
        <v>167</v>
      </c>
      <c r="F34" s="36"/>
      <c r="G34" s="301"/>
      <c r="H34" s="301"/>
    </row>
    <row r="35" spans="2:8">
      <c r="B35" s="47" t="s">
        <v>168</v>
      </c>
      <c r="C35" s="23" t="s">
        <v>85</v>
      </c>
      <c r="D35" s="136"/>
      <c r="E35" s="2" t="s">
        <v>169</v>
      </c>
      <c r="F35" s="36"/>
      <c r="G35" s="301"/>
      <c r="H35" s="301"/>
    </row>
    <row r="36" spans="2:8">
      <c r="F36" s="9"/>
    </row>
    <row r="37" spans="2:8">
      <c r="C37" s="85" t="s">
        <v>67</v>
      </c>
      <c r="D37" s="16" t="s">
        <v>5</v>
      </c>
      <c r="E37" s="137" t="s">
        <v>8</v>
      </c>
      <c r="F37" s="9"/>
    </row>
    <row r="38" spans="2:8">
      <c r="B38" s="47" t="s">
        <v>170</v>
      </c>
      <c r="C38" s="86" t="s">
        <v>54</v>
      </c>
      <c r="D38" s="87">
        <v>4</v>
      </c>
      <c r="E38" s="138">
        <v>4</v>
      </c>
      <c r="F38" s="9"/>
    </row>
    <row r="39" spans="2:8">
      <c r="B39" s="47" t="s">
        <v>171</v>
      </c>
      <c r="C39" s="88" t="s">
        <v>56</v>
      </c>
      <c r="D39" s="89">
        <v>2</v>
      </c>
      <c r="E39" s="108" t="s">
        <v>172</v>
      </c>
      <c r="F39" s="9"/>
    </row>
    <row r="40" spans="2:8">
      <c r="E40" s="110"/>
      <c r="F40" s="9"/>
    </row>
    <row r="41" spans="2:8">
      <c r="C41" s="32"/>
      <c r="D41" s="10" t="s">
        <v>5</v>
      </c>
      <c r="E41" s="128" t="s">
        <v>12</v>
      </c>
      <c r="F41" s="9"/>
    </row>
    <row r="42" spans="2:8">
      <c r="C42" s="21" t="s">
        <v>173</v>
      </c>
      <c r="D42" s="14" t="s">
        <v>152</v>
      </c>
      <c r="E42" s="15" t="s">
        <v>152</v>
      </c>
      <c r="G42" s="139" t="s">
        <v>138</v>
      </c>
    </row>
    <row r="43" spans="2:8">
      <c r="B43" s="49" t="s">
        <v>174</v>
      </c>
      <c r="C43" s="22" t="s">
        <v>6</v>
      </c>
      <c r="D43" s="6">
        <v>4.72</v>
      </c>
      <c r="E43" s="126">
        <v>4.72</v>
      </c>
    </row>
    <row r="44" spans="2:8">
      <c r="B44" s="49" t="s">
        <v>175</v>
      </c>
      <c r="C44" s="140" t="s">
        <v>176</v>
      </c>
      <c r="D44" s="141">
        <v>0</v>
      </c>
      <c r="E44" s="138" t="s">
        <v>177</v>
      </c>
      <c r="G44" s="142">
        <v>0</v>
      </c>
      <c r="H44" s="143" t="s">
        <v>178</v>
      </c>
    </row>
    <row r="45" spans="2:8">
      <c r="B45" s="49" t="s">
        <v>179</v>
      </c>
      <c r="C45" s="22" t="s">
        <v>7</v>
      </c>
      <c r="D45" s="141">
        <v>145</v>
      </c>
      <c r="E45" s="126">
        <v>150</v>
      </c>
      <c r="G45" s="142">
        <v>145</v>
      </c>
      <c r="H45" s="142" t="s">
        <v>180</v>
      </c>
    </row>
    <row r="46" spans="2:8">
      <c r="B46" s="49" t="s">
        <v>181</v>
      </c>
      <c r="C46" s="23" t="s">
        <v>182</v>
      </c>
      <c r="D46" s="144">
        <v>0</v>
      </c>
      <c r="E46" s="138" t="s">
        <v>177</v>
      </c>
      <c r="G46" s="142"/>
      <c r="H46" s="142"/>
    </row>
    <row r="47" spans="2:8">
      <c r="C47" s="33" t="s">
        <v>183</v>
      </c>
      <c r="D47" s="34" t="s">
        <v>152</v>
      </c>
      <c r="E47" s="35" t="s">
        <v>0</v>
      </c>
      <c r="G47" s="142"/>
      <c r="H47" s="142"/>
    </row>
    <row r="48" spans="2:8" ht="12.75" customHeight="1">
      <c r="B48" s="49" t="s">
        <v>184</v>
      </c>
      <c r="C48" s="22" t="s">
        <v>185</v>
      </c>
      <c r="D48" s="129">
        <v>20</v>
      </c>
      <c r="E48" s="126">
        <v>0</v>
      </c>
      <c r="G48" s="142">
        <v>20</v>
      </c>
      <c r="H48" s="143" t="s">
        <v>186</v>
      </c>
    </row>
    <row r="49" spans="2:13">
      <c r="B49" s="49" t="s">
        <v>187</v>
      </c>
      <c r="C49" s="22" t="s">
        <v>7</v>
      </c>
      <c r="D49" s="141">
        <v>2040</v>
      </c>
      <c r="E49" s="126">
        <v>1500</v>
      </c>
      <c r="G49" s="142">
        <v>2040</v>
      </c>
      <c r="H49" s="142" t="s">
        <v>188</v>
      </c>
    </row>
    <row r="50" spans="2:13">
      <c r="B50" s="49" t="s">
        <v>189</v>
      </c>
      <c r="C50" s="23" t="s">
        <v>190</v>
      </c>
      <c r="D50" s="130">
        <v>0</v>
      </c>
      <c r="E50" s="127">
        <v>0</v>
      </c>
      <c r="G50" s="142"/>
      <c r="H50" s="142"/>
    </row>
    <row r="51" spans="2:13">
      <c r="E51" s="110"/>
      <c r="G51" s="142"/>
      <c r="H51" s="142"/>
    </row>
    <row r="52" spans="2:13">
      <c r="C52" s="32"/>
      <c r="D52" s="10" t="s">
        <v>5</v>
      </c>
      <c r="E52" s="128" t="s">
        <v>12</v>
      </c>
      <c r="G52" s="142"/>
      <c r="H52" s="142"/>
    </row>
    <row r="53" spans="2:13">
      <c r="C53" s="21" t="s">
        <v>191</v>
      </c>
      <c r="D53" s="14" t="s">
        <v>0</v>
      </c>
      <c r="E53" s="15" t="s">
        <v>152</v>
      </c>
      <c r="F53" s="90"/>
      <c r="G53" s="142"/>
      <c r="H53" s="142"/>
    </row>
    <row r="54" spans="2:13">
      <c r="B54" s="49" t="s">
        <v>192</v>
      </c>
      <c r="C54" s="22" t="s">
        <v>6</v>
      </c>
      <c r="D54" s="6">
        <v>4.72</v>
      </c>
      <c r="E54" s="126">
        <v>4.72</v>
      </c>
      <c r="G54" s="142"/>
      <c r="H54" s="142"/>
    </row>
    <row r="55" spans="2:13">
      <c r="B55" s="49" t="s">
        <v>193</v>
      </c>
      <c r="C55" s="140" t="s">
        <v>176</v>
      </c>
      <c r="D55" s="141">
        <v>0</v>
      </c>
      <c r="E55" s="138" t="s">
        <v>177</v>
      </c>
      <c r="G55" s="142">
        <v>0</v>
      </c>
      <c r="H55" s="143" t="s">
        <v>194</v>
      </c>
    </row>
    <row r="56" spans="2:13">
      <c r="B56" s="49" t="s">
        <v>195</v>
      </c>
      <c r="C56" s="22" t="s">
        <v>7</v>
      </c>
      <c r="D56" s="141">
        <v>2050</v>
      </c>
      <c r="E56" s="126">
        <v>2000</v>
      </c>
      <c r="G56" s="142">
        <v>2050</v>
      </c>
      <c r="H56" s="142" t="s">
        <v>196</v>
      </c>
    </row>
    <row r="57" spans="2:13">
      <c r="B57" s="49" t="s">
        <v>197</v>
      </c>
      <c r="C57" s="23" t="s">
        <v>144</v>
      </c>
      <c r="D57" s="144">
        <f>D55</f>
        <v>0</v>
      </c>
      <c r="E57" s="138" t="s">
        <v>177</v>
      </c>
      <c r="G57" s="142"/>
      <c r="H57" s="142"/>
    </row>
    <row r="58" spans="2:13">
      <c r="C58" s="33" t="s">
        <v>183</v>
      </c>
      <c r="D58" s="34" t="s">
        <v>152</v>
      </c>
      <c r="E58" s="35" t="s">
        <v>0</v>
      </c>
      <c r="G58" s="142"/>
      <c r="H58" s="142"/>
    </row>
    <row r="59" spans="2:13">
      <c r="B59" s="49" t="s">
        <v>198</v>
      </c>
      <c r="C59" s="22" t="s">
        <v>185</v>
      </c>
      <c r="D59" s="141">
        <v>40</v>
      </c>
      <c r="E59" s="126">
        <v>0</v>
      </c>
      <c r="G59" s="142">
        <v>40</v>
      </c>
      <c r="H59" s="142" t="s">
        <v>188</v>
      </c>
    </row>
    <row r="60" spans="2:13">
      <c r="B60" s="49" t="s">
        <v>199</v>
      </c>
      <c r="C60" s="22" t="s">
        <v>7</v>
      </c>
      <c r="D60" s="141">
        <v>2000</v>
      </c>
      <c r="E60" s="126">
        <v>2000</v>
      </c>
      <c r="G60" s="145" t="s">
        <v>200</v>
      </c>
      <c r="H60" s="142"/>
      <c r="K60" s="99"/>
      <c r="L60" s="99"/>
      <c r="M60" s="99"/>
    </row>
    <row r="61" spans="2:13">
      <c r="B61" s="49" t="s">
        <v>201</v>
      </c>
      <c r="C61" s="23" t="s">
        <v>190</v>
      </c>
      <c r="D61" s="144">
        <v>0</v>
      </c>
      <c r="E61" s="127">
        <v>0</v>
      </c>
      <c r="G61" s="142"/>
      <c r="H61" s="142"/>
      <c r="K61" s="99"/>
      <c r="L61" s="99"/>
      <c r="M61" s="99"/>
    </row>
    <row r="62" spans="2:13">
      <c r="K62" s="99"/>
      <c r="L62" s="99"/>
      <c r="M62" s="99"/>
    </row>
    <row r="63" spans="2:13">
      <c r="K63" s="99"/>
      <c r="L63" s="99"/>
      <c r="M63" s="99"/>
    </row>
    <row r="64" spans="2:13">
      <c r="B64" s="47"/>
      <c r="C64" s="18" t="s">
        <v>202</v>
      </c>
      <c r="D64" s="16" t="s">
        <v>5</v>
      </c>
      <c r="E64" s="17" t="s">
        <v>8</v>
      </c>
      <c r="G64" s="131" t="s">
        <v>94</v>
      </c>
      <c r="H64" s="35" t="s">
        <v>97</v>
      </c>
      <c r="K64" s="99"/>
      <c r="L64" s="99"/>
      <c r="M64" s="99"/>
    </row>
    <row r="65" spans="2:13">
      <c r="B65" s="47" t="s">
        <v>111</v>
      </c>
      <c r="C65" s="19" t="s">
        <v>203</v>
      </c>
      <c r="D65" s="52"/>
      <c r="E65" s="91"/>
      <c r="G65" s="304">
        <v>95</v>
      </c>
      <c r="H65" s="304">
        <v>70</v>
      </c>
      <c r="K65" s="99"/>
      <c r="L65" s="99"/>
      <c r="M65" s="99"/>
    </row>
    <row r="66" spans="2:13">
      <c r="B66" s="49" t="s">
        <v>204</v>
      </c>
      <c r="C66" s="102" t="s">
        <v>205</v>
      </c>
      <c r="D66" s="103" t="s">
        <v>345</v>
      </c>
      <c r="E66" s="4"/>
      <c r="G66" s="110"/>
      <c r="H66" s="110"/>
      <c r="K66" s="99"/>
      <c r="L66" s="99"/>
      <c r="M66" s="99"/>
    </row>
    <row r="67" spans="2:13">
      <c r="B67" s="40"/>
      <c r="G67" s="110"/>
      <c r="H67" s="110"/>
      <c r="K67" s="99"/>
      <c r="L67" s="99"/>
      <c r="M67" s="99"/>
    </row>
    <row r="68" spans="2:13">
      <c r="B68" s="47"/>
      <c r="C68" s="20" t="s">
        <v>206</v>
      </c>
      <c r="D68" s="37" t="s">
        <v>5</v>
      </c>
      <c r="E68" s="390" t="s">
        <v>368</v>
      </c>
      <c r="G68" s="110"/>
      <c r="H68" s="110"/>
      <c r="K68" s="99"/>
      <c r="L68" s="99"/>
      <c r="M68" s="99"/>
    </row>
    <row r="69" spans="2:13">
      <c r="B69" s="47"/>
      <c r="C69" s="21" t="s">
        <v>207</v>
      </c>
      <c r="D69" s="14" t="s">
        <v>152</v>
      </c>
      <c r="E69" s="15"/>
      <c r="G69" s="151"/>
      <c r="H69" s="151"/>
      <c r="K69" s="99"/>
      <c r="L69" s="99"/>
      <c r="M69" s="99"/>
    </row>
    <row r="70" spans="2:13">
      <c r="B70" s="47" t="s">
        <v>208</v>
      </c>
      <c r="C70" s="53" t="s">
        <v>208</v>
      </c>
      <c r="D70" s="133">
        <v>3330</v>
      </c>
      <c r="E70" s="391">
        <v>3351.3</v>
      </c>
      <c r="G70" s="300">
        <v>3260</v>
      </c>
      <c r="H70" s="300">
        <v>708</v>
      </c>
      <c r="K70" s="99"/>
      <c r="L70" s="99"/>
      <c r="M70" s="99"/>
    </row>
    <row r="71" spans="2:13">
      <c r="B71" s="40"/>
      <c r="G71" s="110">
        <v>3260</v>
      </c>
      <c r="H71" s="110">
        <v>715</v>
      </c>
      <c r="K71" s="99"/>
      <c r="L71" s="99"/>
      <c r="M71" s="99"/>
    </row>
    <row r="72" spans="2:13">
      <c r="B72" s="40"/>
      <c r="C72" s="43"/>
      <c r="D72" s="56" t="s">
        <v>209</v>
      </c>
      <c r="E72" s="44"/>
      <c r="G72" s="110">
        <v>3260</v>
      </c>
      <c r="H72" s="110">
        <v>708</v>
      </c>
      <c r="K72" s="99"/>
      <c r="L72" s="99"/>
      <c r="M72" s="99"/>
    </row>
    <row r="73" spans="2:13">
      <c r="B73" s="40"/>
      <c r="C73" s="59" t="s">
        <v>210</v>
      </c>
      <c r="D73" s="60" t="s">
        <v>5</v>
      </c>
      <c r="E73" s="2"/>
      <c r="G73" s="90" t="s">
        <v>180</v>
      </c>
      <c r="H73" s="90" t="s">
        <v>180</v>
      </c>
      <c r="K73" s="99"/>
      <c r="L73" s="99"/>
      <c r="M73" s="99"/>
    </row>
    <row r="74" spans="2:13">
      <c r="B74" s="47" t="s">
        <v>211</v>
      </c>
      <c r="C74" s="63" t="s">
        <v>212</v>
      </c>
      <c r="D74" s="64"/>
      <c r="E74" s="65"/>
      <c r="K74" s="99"/>
      <c r="L74" s="99"/>
      <c r="M74" s="99"/>
    </row>
    <row r="75" spans="2:13">
      <c r="B75" s="47" t="s">
        <v>213</v>
      </c>
      <c r="C75" s="63" t="s">
        <v>214</v>
      </c>
      <c r="D75" s="67"/>
      <c r="E75" s="68"/>
      <c r="K75" s="99"/>
      <c r="L75" s="99"/>
      <c r="M75" s="99"/>
    </row>
    <row r="76" spans="2:13">
      <c r="B76" s="47"/>
      <c r="C76" s="69" t="s">
        <v>215</v>
      </c>
      <c r="D76" s="3"/>
      <c r="E76" s="4"/>
    </row>
    <row r="77" spans="2:13">
      <c r="B77" s="47" t="s">
        <v>216</v>
      </c>
      <c r="C77" s="63" t="s">
        <v>212</v>
      </c>
      <c r="D77" s="64"/>
      <c r="E77" s="65"/>
    </row>
    <row r="78" spans="2:13">
      <c r="B78" s="47" t="s">
        <v>217</v>
      </c>
      <c r="C78" s="63" t="s">
        <v>218</v>
      </c>
      <c r="D78" s="67"/>
      <c r="E78" s="68"/>
    </row>
    <row r="79" spans="2:13">
      <c r="B79" s="47"/>
      <c r="C79" s="69" t="s">
        <v>219</v>
      </c>
      <c r="D79" s="3"/>
      <c r="E79" s="4"/>
    </row>
    <row r="80" spans="2:13">
      <c r="B80" s="47" t="s">
        <v>220</v>
      </c>
      <c r="C80" s="63" t="s">
        <v>212</v>
      </c>
      <c r="D80" s="64"/>
      <c r="E80" s="65"/>
    </row>
    <row r="81" spans="2:12">
      <c r="B81" s="47" t="s">
        <v>221</v>
      </c>
      <c r="C81" s="63" t="s">
        <v>214</v>
      </c>
      <c r="D81" s="67"/>
      <c r="E81" s="68"/>
    </row>
    <row r="82" spans="2:12">
      <c r="B82" s="47"/>
      <c r="C82" s="69" t="s">
        <v>222</v>
      </c>
      <c r="D82" s="3"/>
      <c r="E82" s="4"/>
    </row>
    <row r="83" spans="2:12">
      <c r="B83" s="47" t="s">
        <v>223</v>
      </c>
      <c r="C83" s="75" t="s">
        <v>212</v>
      </c>
      <c r="D83" s="76"/>
      <c r="E83" s="77"/>
    </row>
    <row r="84" spans="2:12">
      <c r="B84" s="47" t="s">
        <v>224</v>
      </c>
      <c r="C84" s="78" t="s">
        <v>218</v>
      </c>
      <c r="D84" s="79"/>
      <c r="E84" s="68"/>
    </row>
    <row r="86" spans="2:12">
      <c r="J86" s="98" t="s">
        <v>70</v>
      </c>
      <c r="K86" s="99"/>
      <c r="L86" s="99"/>
    </row>
    <row r="87" spans="2:12">
      <c r="J87" s="99"/>
      <c r="K87" s="99"/>
      <c r="L87" s="99"/>
    </row>
    <row r="88" spans="2:12">
      <c r="J88" s="99" t="s">
        <v>71</v>
      </c>
      <c r="K88" s="99" t="s">
        <v>320</v>
      </c>
      <c r="L88" s="99"/>
    </row>
    <row r="89" spans="2:12">
      <c r="J89" s="99" t="s">
        <v>124</v>
      </c>
      <c r="K89" s="99" t="s">
        <v>321</v>
      </c>
      <c r="L89" s="99"/>
    </row>
    <row r="90" spans="2:12">
      <c r="J90" s="99" t="s">
        <v>126</v>
      </c>
      <c r="K90" s="99" t="s">
        <v>322</v>
      </c>
      <c r="L90" s="99"/>
    </row>
    <row r="91" spans="2:12">
      <c r="J91" s="99" t="s">
        <v>72</v>
      </c>
      <c r="K91" s="99" t="s">
        <v>64</v>
      </c>
      <c r="L91" s="99"/>
    </row>
    <row r="92" spans="2:12">
      <c r="J92" s="99" t="s">
        <v>128</v>
      </c>
      <c r="K92" s="99" t="s">
        <v>125</v>
      </c>
      <c r="L92" s="99"/>
    </row>
    <row r="93" spans="2:12">
      <c r="J93" s="99" t="s">
        <v>129</v>
      </c>
      <c r="K93" s="99" t="s">
        <v>127</v>
      </c>
      <c r="L93" s="99"/>
    </row>
    <row r="94" spans="2:12">
      <c r="J94" s="99" t="s">
        <v>17</v>
      </c>
      <c r="K94" s="99" t="s">
        <v>132</v>
      </c>
      <c r="L94" s="99"/>
    </row>
    <row r="95" spans="2:12">
      <c r="J95" s="99" t="s">
        <v>130</v>
      </c>
      <c r="K95" s="99" t="s">
        <v>323</v>
      </c>
      <c r="L95" s="99"/>
    </row>
    <row r="96" spans="2:12">
      <c r="J96" s="99" t="s">
        <v>131</v>
      </c>
      <c r="K96" s="99" t="s">
        <v>324</v>
      </c>
      <c r="L96" s="99"/>
    </row>
    <row r="97" spans="10:12">
      <c r="J97" s="99" t="s">
        <v>73</v>
      </c>
      <c r="K97" s="99" t="s">
        <v>325</v>
      </c>
      <c r="L97" s="99"/>
    </row>
    <row r="98" spans="10:12">
      <c r="J98" s="99" t="s">
        <v>18</v>
      </c>
      <c r="K98" s="99" t="s">
        <v>326</v>
      </c>
      <c r="L98" s="99"/>
    </row>
    <row r="99" spans="10:12">
      <c r="J99" s="99" t="s">
        <v>133</v>
      </c>
      <c r="K99" s="99" t="s">
        <v>327</v>
      </c>
      <c r="L99" s="99"/>
    </row>
    <row r="100" spans="10:12">
      <c r="J100" s="99" t="s">
        <v>134</v>
      </c>
      <c r="K100" s="99" t="s">
        <v>328</v>
      </c>
      <c r="L100" s="99"/>
    </row>
    <row r="101" spans="10:12">
      <c r="J101" s="99" t="s">
        <v>19</v>
      </c>
      <c r="K101" s="99" t="s">
        <v>53</v>
      </c>
      <c r="L101" s="99"/>
    </row>
    <row r="102" spans="10:12">
      <c r="J102" s="99" t="s">
        <v>20</v>
      </c>
      <c r="K102" s="99" t="s">
        <v>329</v>
      </c>
      <c r="L102" s="99"/>
    </row>
    <row r="103" spans="10:12">
      <c r="J103" s="99" t="s">
        <v>21</v>
      </c>
      <c r="K103" s="99" t="s">
        <v>74</v>
      </c>
      <c r="L103" s="99"/>
    </row>
    <row r="104" spans="10:12">
      <c r="J104" s="99" t="s">
        <v>22</v>
      </c>
      <c r="K104" s="99" t="s">
        <v>76</v>
      </c>
      <c r="L104" s="99"/>
    </row>
    <row r="105" spans="10:12">
      <c r="J105" s="99" t="s">
        <v>23</v>
      </c>
      <c r="K105" s="99" t="s">
        <v>330</v>
      </c>
      <c r="L105" s="99"/>
    </row>
    <row r="106" spans="10:12">
      <c r="J106" s="99" t="s">
        <v>25</v>
      </c>
      <c r="K106" s="99" t="s">
        <v>135</v>
      </c>
      <c r="L106" s="99"/>
    </row>
    <row r="107" spans="10:12">
      <c r="J107" s="99" t="s">
        <v>26</v>
      </c>
      <c r="K107" s="99" t="s">
        <v>331</v>
      </c>
      <c r="L107" s="99"/>
    </row>
    <row r="108" spans="10:12">
      <c r="J108" s="99" t="s">
        <v>27</v>
      </c>
      <c r="K108" s="99" t="s">
        <v>75</v>
      </c>
      <c r="L108" s="99"/>
    </row>
    <row r="109" spans="10:12">
      <c r="J109" s="99" t="s">
        <v>29</v>
      </c>
      <c r="K109" s="99" t="s">
        <v>28</v>
      </c>
      <c r="L109" s="99"/>
    </row>
    <row r="110" spans="10:12">
      <c r="J110" s="99" t="s">
        <v>30</v>
      </c>
      <c r="K110" s="99" t="s">
        <v>332</v>
      </c>
      <c r="L110" s="99"/>
    </row>
    <row r="111" spans="10:12">
      <c r="J111" s="99" t="s">
        <v>31</v>
      </c>
      <c r="K111" s="99" t="s">
        <v>136</v>
      </c>
      <c r="L111" s="99"/>
    </row>
    <row r="112" spans="10:12">
      <c r="J112" s="99" t="s">
        <v>32</v>
      </c>
      <c r="K112" s="99" t="s">
        <v>333</v>
      </c>
      <c r="L112" s="99"/>
    </row>
    <row r="113" spans="10:12">
      <c r="J113" s="99" t="s">
        <v>33</v>
      </c>
      <c r="K113" s="99" t="s">
        <v>24</v>
      </c>
      <c r="L113" s="99"/>
    </row>
    <row r="114" spans="10:12">
      <c r="J114" s="99" t="s">
        <v>34</v>
      </c>
      <c r="K114" s="99" t="s">
        <v>79</v>
      </c>
      <c r="L114" s="99"/>
    </row>
    <row r="115" spans="10:12">
      <c r="J115" s="99" t="s">
        <v>35</v>
      </c>
      <c r="K115" s="99" t="s">
        <v>84</v>
      </c>
      <c r="L115" s="99"/>
    </row>
    <row r="116" spans="10:12">
      <c r="J116" s="99" t="s">
        <v>36</v>
      </c>
      <c r="K116" s="99" t="s">
        <v>334</v>
      </c>
      <c r="L116" s="99"/>
    </row>
    <row r="117" spans="10:12">
      <c r="J117" s="99" t="s">
        <v>38</v>
      </c>
      <c r="K117" s="99" t="s">
        <v>137</v>
      </c>
      <c r="L117" s="99"/>
    </row>
    <row r="118" spans="10:12">
      <c r="J118" s="99" t="s">
        <v>39</v>
      </c>
      <c r="K118" s="99" t="s">
        <v>335</v>
      </c>
      <c r="L118" s="99"/>
    </row>
    <row r="119" spans="10:12">
      <c r="J119" s="99" t="s">
        <v>40</v>
      </c>
      <c r="K119" s="99" t="s">
        <v>80</v>
      </c>
      <c r="L119" s="99"/>
    </row>
    <row r="120" spans="10:12">
      <c r="J120" s="99" t="s">
        <v>42</v>
      </c>
      <c r="K120" s="99" t="s">
        <v>41</v>
      </c>
      <c r="L120" s="99"/>
    </row>
    <row r="121" spans="10:12">
      <c r="J121" s="99" t="s">
        <v>43</v>
      </c>
      <c r="K121" s="99" t="s">
        <v>336</v>
      </c>
      <c r="L121" s="99"/>
    </row>
    <row r="122" spans="10:12">
      <c r="J122" s="99" t="s">
        <v>44</v>
      </c>
      <c r="K122" s="99" t="s">
        <v>139</v>
      </c>
      <c r="L122" s="99"/>
    </row>
    <row r="123" spans="10:12">
      <c r="J123" s="99" t="s">
        <v>47</v>
      </c>
      <c r="K123" s="99" t="s">
        <v>337</v>
      </c>
      <c r="L123" s="99"/>
    </row>
    <row r="124" spans="10:12">
      <c r="J124" s="99" t="s">
        <v>50</v>
      </c>
      <c r="K124" s="99" t="s">
        <v>37</v>
      </c>
      <c r="L124" s="99"/>
    </row>
    <row r="125" spans="10:12">
      <c r="J125" s="99" t="s">
        <v>51</v>
      </c>
      <c r="K125" s="99" t="s">
        <v>61</v>
      </c>
      <c r="L125" s="99"/>
    </row>
    <row r="126" spans="10:12">
      <c r="J126" s="99" t="s">
        <v>52</v>
      </c>
      <c r="K126" s="99" t="s">
        <v>59</v>
      </c>
      <c r="L126" s="99"/>
    </row>
    <row r="127" spans="10:12">
      <c r="J127" s="99" t="s">
        <v>55</v>
      </c>
      <c r="K127" s="99" t="s">
        <v>87</v>
      </c>
      <c r="L127" s="99"/>
    </row>
    <row r="128" spans="10:12">
      <c r="J128" s="99" t="s">
        <v>140</v>
      </c>
      <c r="K128" s="99" t="s">
        <v>141</v>
      </c>
      <c r="L128" s="99"/>
    </row>
    <row r="129" spans="10:12">
      <c r="J129" s="99" t="s">
        <v>142</v>
      </c>
      <c r="K129" s="99" t="s">
        <v>143</v>
      </c>
      <c r="L129" s="99"/>
    </row>
    <row r="130" spans="10:12">
      <c r="J130" s="99" t="s">
        <v>57</v>
      </c>
      <c r="K130" s="99" t="s">
        <v>88</v>
      </c>
      <c r="L130" s="99"/>
    </row>
    <row r="131" spans="10:12">
      <c r="J131" s="99" t="s">
        <v>318</v>
      </c>
      <c r="K131" s="99" t="s">
        <v>89</v>
      </c>
      <c r="L131" s="99"/>
    </row>
    <row r="132" spans="10:12">
      <c r="J132" s="99" t="s">
        <v>58</v>
      </c>
      <c r="K132" s="99" t="s">
        <v>92</v>
      </c>
      <c r="L132" s="99"/>
    </row>
    <row r="133" spans="10:12">
      <c r="J133" s="99" t="s">
        <v>60</v>
      </c>
      <c r="K133" s="99" t="s">
        <v>90</v>
      </c>
      <c r="L133" s="99"/>
    </row>
    <row r="134" spans="10:12">
      <c r="J134" s="99" t="s">
        <v>62</v>
      </c>
      <c r="K134" s="99" t="s">
        <v>338</v>
      </c>
      <c r="L134" s="99"/>
    </row>
    <row r="135" spans="10:12">
      <c r="J135" s="99" t="s">
        <v>63</v>
      </c>
      <c r="K135" s="99" t="s">
        <v>91</v>
      </c>
      <c r="L135" s="99"/>
    </row>
    <row r="136" spans="10:12">
      <c r="J136" s="99" t="s">
        <v>65</v>
      </c>
      <c r="K136" s="99" t="s">
        <v>66</v>
      </c>
      <c r="L136" s="99"/>
    </row>
  </sheetData>
  <phoneticPr fontId="18"/>
  <pageMargins left="0.23622047244094491" right="0.23622047244094491" top="0.35433070866141736" bottom="0.35433070866141736" header="0" footer="0.31496062992125984"/>
  <pageSetup paperSize="9" fitToHeight="0" pageOrder="overThenDown" orientation="landscape" r:id="rId1"/>
  <headerFooter>
    <oddHeader>&amp;L&amp;F&amp;A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2E469-0CB7-4CC0-8F62-06D371870550}">
  <sheetPr>
    <pageSetUpPr fitToPage="1"/>
  </sheetPr>
  <dimension ref="B1:X63"/>
  <sheetViews>
    <sheetView tabSelected="1" zoomScale="80" zoomScaleNormal="80" zoomScaleSheetLayoutView="90" workbookViewId="0">
      <selection activeCell="Q51" sqref="Q51"/>
    </sheetView>
  </sheetViews>
  <sheetFormatPr defaultColWidth="8.75" defaultRowHeight="13.5"/>
  <cols>
    <col min="1" max="1" width="2.125" style="40" customWidth="1"/>
    <col min="2" max="2" width="7" style="40" customWidth="1"/>
    <col min="3" max="3" width="7.375" style="40" customWidth="1"/>
    <col min="4" max="4" width="8.25" style="40" customWidth="1"/>
    <col min="5" max="5" width="3.375" style="40" customWidth="1"/>
    <col min="6" max="6" width="13.25" style="40" customWidth="1"/>
    <col min="7" max="7" width="9" style="40" customWidth="1"/>
    <col min="8" max="8" width="6.75" style="40" customWidth="1"/>
    <col min="9" max="9" width="6.375" style="40" customWidth="1"/>
    <col min="10" max="10" width="5.375" style="40" customWidth="1"/>
    <col min="11" max="11" width="8.625" style="40" customWidth="1"/>
    <col min="12" max="12" width="5.375" style="40" customWidth="1"/>
    <col min="13" max="13" width="5.875" style="40" customWidth="1"/>
    <col min="14" max="14" width="1.375" style="40" customWidth="1"/>
    <col min="15" max="19" width="6.625" style="40" customWidth="1"/>
    <col min="20" max="20" width="6.875" style="40" customWidth="1"/>
    <col min="21" max="21" width="1.375" style="40" customWidth="1"/>
    <col min="22" max="16384" width="8.75" style="40"/>
  </cols>
  <sheetData>
    <row r="1" spans="2:22" s="94" customFormat="1" ht="9" customHeight="1">
      <c r="I1" s="313"/>
      <c r="J1" s="313"/>
      <c r="K1" s="313"/>
    </row>
    <row r="2" spans="2:22" ht="18.75">
      <c r="F2" s="105" t="str">
        <f>WBtitle</f>
        <v>2020.01/01 Ar(X01)</v>
      </c>
      <c r="I2" s="314"/>
      <c r="J2" s="314"/>
      <c r="K2" s="314"/>
    </row>
    <row r="3" spans="2:22" s="92" customFormat="1" ht="18.75">
      <c r="F3" s="315" t="s">
        <v>101</v>
      </c>
      <c r="H3" s="310"/>
      <c r="I3" s="270"/>
      <c r="K3" s="315"/>
    </row>
    <row r="4" spans="2:22" ht="18.95" customHeight="1">
      <c r="F4" s="356"/>
      <c r="O4" s="41"/>
      <c r="P4" s="41"/>
      <c r="Q4" s="41"/>
      <c r="R4" s="41"/>
      <c r="S4" s="41"/>
      <c r="T4" s="41"/>
      <c r="U4" s="41"/>
      <c r="V4" s="41"/>
    </row>
    <row r="5" spans="2:22" s="36" customFormat="1" ht="12">
      <c r="B5" s="355" t="s">
        <v>349</v>
      </c>
      <c r="F5" s="357" t="s">
        <v>358</v>
      </c>
      <c r="G5" s="302" t="s">
        <v>339</v>
      </c>
      <c r="H5" s="358" t="s">
        <v>359</v>
      </c>
      <c r="K5" s="316" t="s">
        <v>109</v>
      </c>
      <c r="O5" s="280"/>
      <c r="P5" s="392"/>
      <c r="Q5" s="280"/>
      <c r="R5" s="280"/>
      <c r="S5" s="280"/>
      <c r="T5" s="280"/>
      <c r="U5" s="280"/>
      <c r="V5" s="280"/>
    </row>
    <row r="6" spans="2:22">
      <c r="B6" s="290" t="s">
        <v>98</v>
      </c>
      <c r="C6" s="317" t="s">
        <v>2</v>
      </c>
      <c r="F6" s="322" t="s">
        <v>2</v>
      </c>
      <c r="G6" s="303">
        <f>ThAu</f>
        <v>73</v>
      </c>
      <c r="H6" s="286">
        <f>G6</f>
        <v>73</v>
      </c>
      <c r="I6" s="394" t="s">
        <v>0</v>
      </c>
      <c r="K6" s="318" t="str">
        <f t="shared" ref="K6:K11" si="0">"srim"&amp;H$19&amp;"_"&amp;$C6</f>
        <v>srim40Ar_Au</v>
      </c>
      <c r="O6" s="41"/>
      <c r="P6" s="278"/>
      <c r="Q6" s="393"/>
      <c r="R6" s="394"/>
      <c r="S6" s="394"/>
      <c r="T6" s="395"/>
      <c r="U6" s="280"/>
      <c r="V6" s="41"/>
    </row>
    <row r="7" spans="2:22">
      <c r="B7" s="86" t="s">
        <v>99</v>
      </c>
      <c r="C7" s="291" t="s">
        <v>3</v>
      </c>
      <c r="F7" s="319" t="s">
        <v>3</v>
      </c>
      <c r="G7" s="303">
        <f>ThKapton</f>
        <v>78</v>
      </c>
      <c r="H7" s="286">
        <f t="shared" ref="H7:H14" si="1">G7</f>
        <v>78</v>
      </c>
      <c r="I7" s="394" t="s">
        <v>0</v>
      </c>
      <c r="K7" s="318" t="str">
        <f t="shared" si="0"/>
        <v>srim40Ar_Kapton</v>
      </c>
      <c r="O7" s="41"/>
      <c r="P7" s="41"/>
      <c r="Q7" s="393"/>
      <c r="R7" s="394"/>
      <c r="S7" s="394"/>
      <c r="T7" s="395"/>
      <c r="U7" s="41"/>
      <c r="V7" s="280"/>
    </row>
    <row r="8" spans="2:22">
      <c r="B8" s="86" t="s">
        <v>104</v>
      </c>
      <c r="C8" s="291" t="s">
        <v>102</v>
      </c>
      <c r="F8" s="319" t="s">
        <v>309</v>
      </c>
      <c r="G8" s="303">
        <f>ThICal</f>
        <v>14</v>
      </c>
      <c r="H8" s="286">
        <f t="shared" si="1"/>
        <v>14</v>
      </c>
      <c r="I8" s="394" t="s">
        <v>0</v>
      </c>
      <c r="K8" s="318" t="str">
        <f t="shared" si="0"/>
        <v>srim40Ar_Mylar</v>
      </c>
      <c r="O8" s="41"/>
      <c r="P8" s="278"/>
      <c r="Q8" s="41"/>
      <c r="R8" s="41"/>
      <c r="S8" s="41"/>
      <c r="T8" s="396"/>
      <c r="U8" s="41"/>
      <c r="V8" s="280"/>
    </row>
    <row r="9" spans="2:22">
      <c r="B9" s="86" t="s">
        <v>105</v>
      </c>
      <c r="C9" s="291" t="s">
        <v>103</v>
      </c>
      <c r="F9" s="319" t="s">
        <v>68</v>
      </c>
      <c r="G9" s="303">
        <f>ThICmylar</f>
        <v>25.6</v>
      </c>
      <c r="H9" s="286">
        <f t="shared" si="1"/>
        <v>25.6</v>
      </c>
      <c r="I9" s="394" t="s">
        <v>0</v>
      </c>
      <c r="K9" s="318" t="str">
        <f t="shared" si="0"/>
        <v>srim40Ar_EJ212</v>
      </c>
      <c r="O9" s="41"/>
      <c r="P9" s="278"/>
      <c r="Q9" s="393"/>
      <c r="R9" s="394"/>
      <c r="S9" s="394"/>
      <c r="T9" s="41"/>
      <c r="U9" s="280"/>
      <c r="V9" s="280"/>
    </row>
    <row r="10" spans="2:22">
      <c r="B10" s="86" t="s">
        <v>106</v>
      </c>
      <c r="C10" s="291" t="s">
        <v>93</v>
      </c>
      <c r="F10" s="319" t="s">
        <v>78</v>
      </c>
      <c r="G10" s="303">
        <f>ThPL</f>
        <v>500</v>
      </c>
      <c r="H10" s="286">
        <f t="shared" si="1"/>
        <v>500</v>
      </c>
      <c r="I10" s="394" t="s">
        <v>0</v>
      </c>
      <c r="K10" s="318" t="str">
        <f t="shared" si="0"/>
        <v>srim40Ar_Al</v>
      </c>
      <c r="O10" s="41"/>
      <c r="P10" s="278"/>
      <c r="Q10" s="393"/>
      <c r="R10" s="394"/>
      <c r="S10" s="394"/>
      <c r="T10" s="393"/>
      <c r="U10" s="280"/>
      <c r="V10" s="280"/>
    </row>
    <row r="11" spans="2:22">
      <c r="B11" s="86" t="s">
        <v>107</v>
      </c>
      <c r="C11" s="291" t="s">
        <v>100</v>
      </c>
      <c r="D11" s="347" t="s">
        <v>357</v>
      </c>
      <c r="F11" s="319" t="s">
        <v>9</v>
      </c>
      <c r="G11" s="303">
        <f>ThPLmylar</f>
        <v>33.799999999999997</v>
      </c>
      <c r="H11" s="286">
        <f t="shared" si="1"/>
        <v>33.799999999999997</v>
      </c>
      <c r="I11" s="394" t="s">
        <v>0</v>
      </c>
      <c r="K11" s="318" t="str">
        <f t="shared" si="0"/>
        <v>srim40Ar_Si</v>
      </c>
      <c r="O11" s="41"/>
      <c r="P11" s="41"/>
      <c r="Q11" s="279"/>
      <c r="R11" s="280"/>
      <c r="S11" s="280"/>
      <c r="T11" s="41"/>
      <c r="U11" s="280"/>
      <c r="V11" s="280"/>
    </row>
    <row r="12" spans="2:22">
      <c r="B12" s="320" t="s">
        <v>108</v>
      </c>
      <c r="C12" s="321" t="s">
        <v>96</v>
      </c>
      <c r="F12" s="340" t="s">
        <v>340</v>
      </c>
      <c r="G12" s="303">
        <f>ThPLmyAl</f>
        <v>30</v>
      </c>
      <c r="H12" s="286">
        <f t="shared" si="1"/>
        <v>30</v>
      </c>
      <c r="I12" s="394" t="s">
        <v>0</v>
      </c>
      <c r="K12" s="318" t="str">
        <f>"srim"&amp;H$19&amp;"_"&amp;$C$12</f>
        <v>srim40Ar_Air</v>
      </c>
      <c r="O12" s="41"/>
      <c r="P12" s="278"/>
      <c r="Q12" s="41"/>
      <c r="R12" s="41"/>
      <c r="S12" s="41"/>
      <c r="T12" s="397"/>
      <c r="U12" s="41"/>
      <c r="V12" s="280"/>
    </row>
    <row r="13" spans="2:22">
      <c r="B13" s="353" t="s">
        <v>355</v>
      </c>
      <c r="C13" s="354"/>
      <c r="D13" s="354"/>
      <c r="F13" s="319" t="s">
        <v>45</v>
      </c>
      <c r="G13" s="303">
        <f>ThAir1</f>
        <v>145</v>
      </c>
      <c r="H13" s="286">
        <f t="shared" si="1"/>
        <v>145</v>
      </c>
      <c r="I13" s="394" t="s">
        <v>1</v>
      </c>
      <c r="O13" s="41"/>
      <c r="P13" s="278"/>
      <c r="Q13" s="393"/>
      <c r="R13" s="394"/>
      <c r="S13" s="394"/>
      <c r="T13" s="398"/>
      <c r="U13" s="280"/>
      <c r="V13" s="280"/>
    </row>
    <row r="14" spans="2:22">
      <c r="B14" s="290" t="s">
        <v>346</v>
      </c>
      <c r="C14" s="349" t="s">
        <v>369</v>
      </c>
      <c r="F14" s="323" t="s">
        <v>81</v>
      </c>
      <c r="G14" s="303">
        <f>ThAir2</f>
        <v>200</v>
      </c>
      <c r="H14" s="286">
        <f t="shared" si="1"/>
        <v>200</v>
      </c>
      <c r="I14" s="394" t="s">
        <v>1</v>
      </c>
      <c r="K14" s="318" t="str">
        <f>"srim"&amp;H$19&amp;"_"&amp;$C$14</f>
        <v>srim40Ar_Epoxy</v>
      </c>
      <c r="O14" s="41"/>
      <c r="P14" s="41"/>
      <c r="Q14" s="41"/>
      <c r="R14" s="41"/>
      <c r="S14" s="41"/>
      <c r="T14" s="398"/>
      <c r="U14" s="279"/>
      <c r="V14" s="280"/>
    </row>
    <row r="15" spans="2:22" ht="12" customHeight="1">
      <c r="B15" s="86" t="s">
        <v>347</v>
      </c>
      <c r="C15" s="350" t="s">
        <v>370</v>
      </c>
      <c r="H15" s="147"/>
      <c r="K15" s="318" t="str">
        <f>"srim"&amp;H$19&amp;"_"&amp;$C$15</f>
        <v>srim40Ar_SiO2</v>
      </c>
      <c r="O15" s="41"/>
      <c r="P15" s="278"/>
      <c r="Q15" s="393"/>
      <c r="R15" s="394"/>
      <c r="S15" s="394"/>
      <c r="T15" s="398"/>
      <c r="U15" s="279"/>
      <c r="V15" s="280"/>
    </row>
    <row r="16" spans="2:22">
      <c r="B16" s="320" t="s">
        <v>348</v>
      </c>
      <c r="C16" s="351" t="s">
        <v>3</v>
      </c>
      <c r="F16" s="322" t="s">
        <v>305</v>
      </c>
      <c r="H16" s="287">
        <v>27</v>
      </c>
      <c r="I16" s="116" t="s">
        <v>83</v>
      </c>
      <c r="J16" s="341"/>
      <c r="K16" s="318" t="str">
        <f>"srim"&amp;H$19&amp;"_"&amp;$C$16</f>
        <v>srim40Ar_Kapton</v>
      </c>
      <c r="O16" s="41"/>
      <c r="P16" s="41"/>
      <c r="Q16" s="41"/>
      <c r="R16" s="41"/>
      <c r="S16" s="41"/>
      <c r="T16" s="41"/>
      <c r="U16" s="280"/>
      <c r="V16" s="280"/>
    </row>
    <row r="17" spans="2:22">
      <c r="B17" s="353" t="s">
        <v>354</v>
      </c>
      <c r="C17" s="354"/>
      <c r="D17" s="354"/>
      <c r="F17" s="323" t="s">
        <v>306</v>
      </c>
      <c r="H17" s="288">
        <v>1007</v>
      </c>
      <c r="I17" s="116" t="s">
        <v>86</v>
      </c>
      <c r="J17" s="341"/>
      <c r="O17" s="41"/>
      <c r="P17" s="278"/>
      <c r="Q17" s="399"/>
      <c r="R17" s="41"/>
      <c r="S17" s="41"/>
      <c r="T17" s="41"/>
      <c r="U17" s="41"/>
      <c r="V17" s="280"/>
    </row>
    <row r="18" spans="2:22">
      <c r="B18" s="342" t="s">
        <v>356</v>
      </c>
      <c r="C18" s="352" t="s">
        <v>100</v>
      </c>
      <c r="D18" s="348"/>
      <c r="F18" s="324" t="s">
        <v>307</v>
      </c>
      <c r="H18" s="271">
        <f>[1]!srThkStd(K$12,H17*100,H16)</f>
        <v>0.97065391146847824</v>
      </c>
      <c r="K18" s="318" t="str">
        <f>"srim"&amp;H$19&amp;"_"&amp;$C$18</f>
        <v>srim40Ar_Si</v>
      </c>
      <c r="O18" s="41"/>
      <c r="P18" s="41"/>
      <c r="Q18" s="399"/>
      <c r="R18" s="41"/>
      <c r="S18" s="41"/>
      <c r="T18" s="41"/>
      <c r="U18" s="41"/>
      <c r="V18" s="280"/>
    </row>
    <row r="19" spans="2:22" ht="18" thickBot="1">
      <c r="F19" s="85" t="s">
        <v>77</v>
      </c>
      <c r="H19" s="325" t="s">
        <v>94</v>
      </c>
      <c r="I19" s="326">
        <f>[1]!srInfoIonA(K$6)</f>
        <v>40</v>
      </c>
      <c r="J19" s="327">
        <f>[1]!srInfoIonZ(K$6)</f>
        <v>18</v>
      </c>
      <c r="O19" s="41"/>
      <c r="P19" s="41"/>
      <c r="Q19" s="399"/>
      <c r="R19" s="41"/>
      <c r="S19" s="41"/>
      <c r="T19" s="41"/>
      <c r="U19" s="41"/>
      <c r="V19" s="280"/>
    </row>
    <row r="20" spans="2:22" ht="14.25" thickBot="1">
      <c r="B20" s="353" t="s">
        <v>364</v>
      </c>
      <c r="C20" s="384"/>
      <c r="D20" s="384"/>
      <c r="F20" s="146" t="s">
        <v>226</v>
      </c>
      <c r="H20" s="289">
        <v>95</v>
      </c>
      <c r="J20" s="146" t="s">
        <v>228</v>
      </c>
      <c r="K20" s="306">
        <v>3330</v>
      </c>
      <c r="L20" s="297" t="s">
        <v>316</v>
      </c>
      <c r="O20" s="41"/>
      <c r="P20" s="41"/>
      <c r="Q20" s="41"/>
      <c r="R20" s="41"/>
      <c r="S20" s="41"/>
      <c r="T20" s="41"/>
      <c r="U20" s="41"/>
      <c r="V20" s="280"/>
    </row>
    <row r="21" spans="2:22">
      <c r="B21" s="343" t="str">
        <f>C$14</f>
        <v>Epoxy</v>
      </c>
      <c r="C21" s="402">
        <v>500</v>
      </c>
      <c r="D21" s="39" t="s">
        <v>350</v>
      </c>
      <c r="F21" s="328" t="s">
        <v>315</v>
      </c>
      <c r="G21" s="329"/>
      <c r="H21" s="293">
        <v>0</v>
      </c>
      <c r="I21" s="40" t="s">
        <v>310</v>
      </c>
      <c r="J21" s="146" t="s">
        <v>227</v>
      </c>
      <c r="K21" s="295">
        <f>K32-K20</f>
        <v>21.278230660471763</v>
      </c>
      <c r="O21" s="41"/>
      <c r="P21" s="41"/>
      <c r="Q21" s="41"/>
      <c r="R21" s="41"/>
      <c r="S21" s="41"/>
      <c r="T21" s="41"/>
      <c r="U21" s="41"/>
      <c r="V21" s="280"/>
    </row>
    <row r="22" spans="2:22">
      <c r="B22" s="344" t="str">
        <f>C$15</f>
        <v>SiO2</v>
      </c>
      <c r="C22" s="403">
        <v>200</v>
      </c>
      <c r="D22" s="39" t="s">
        <v>350</v>
      </c>
      <c r="H22" s="120" t="s">
        <v>118</v>
      </c>
      <c r="I22" s="414" t="s">
        <v>113</v>
      </c>
      <c r="J22" s="415" t="str">
        <f>"Rin "&amp;$C$18</f>
        <v>Rin Si</v>
      </c>
      <c r="K22" s="121" t="s">
        <v>116</v>
      </c>
      <c r="L22" s="121" t="s">
        <v>117</v>
      </c>
      <c r="M22" s="330" t="s">
        <v>113</v>
      </c>
      <c r="O22" s="41"/>
      <c r="P22" s="41"/>
      <c r="Q22" s="41"/>
      <c r="R22" s="41"/>
      <c r="S22" s="41"/>
      <c r="T22" s="41"/>
      <c r="U22" s="41"/>
      <c r="V22" s="280"/>
    </row>
    <row r="23" spans="2:22">
      <c r="B23" s="345" t="str">
        <f>C$16</f>
        <v>Kapton</v>
      </c>
      <c r="C23" s="404">
        <v>0</v>
      </c>
      <c r="D23" s="39" t="s">
        <v>350</v>
      </c>
      <c r="F23" s="111" t="s">
        <v>225</v>
      </c>
      <c r="H23" s="122" t="s">
        <v>112</v>
      </c>
      <c r="I23" s="416" t="str">
        <f>"in "&amp;$C$18</f>
        <v>in Si</v>
      </c>
      <c r="J23" s="417" t="s">
        <v>110</v>
      </c>
      <c r="K23" s="123" t="s">
        <v>110</v>
      </c>
      <c r="L23" s="123" t="s">
        <v>1</v>
      </c>
      <c r="M23" s="107" t="s">
        <v>115</v>
      </c>
      <c r="O23" s="41"/>
      <c r="P23" s="41"/>
      <c r="Q23" s="41"/>
      <c r="R23" s="41"/>
      <c r="S23" s="41"/>
      <c r="T23" s="41"/>
      <c r="U23" s="41"/>
      <c r="V23" s="280"/>
    </row>
    <row r="24" spans="2:22">
      <c r="B24" s="385" t="s">
        <v>351</v>
      </c>
      <c r="C24" s="384"/>
      <c r="D24" s="384"/>
      <c r="F24" s="40" t="s">
        <v>234</v>
      </c>
      <c r="H24" s="113">
        <f>H20*(1+H21/100)</f>
        <v>95</v>
      </c>
      <c r="I24" s="115">
        <f>[1]!srE2LETt(K$18,H24,0)</f>
        <v>2.0347324599999999</v>
      </c>
      <c r="J24" s="331">
        <f>[1]!srE2Rng(K$18,H24)</f>
        <v>4668</v>
      </c>
      <c r="K24" s="331">
        <f>[1]!srE2Rng(K$10,H24)</f>
        <v>4126</v>
      </c>
      <c r="L24" s="331">
        <f>[1]!srE2Rng(K$12,H24)/H$18/1000</f>
        <v>8363.4340768466882</v>
      </c>
      <c r="M24" s="124">
        <f>[1]!srE2LETt(K$12,H24,0)</f>
        <v>2.2375539</v>
      </c>
      <c r="O24" s="41"/>
      <c r="P24" s="41"/>
      <c r="Q24" s="41"/>
      <c r="R24" s="41"/>
      <c r="S24" s="41"/>
      <c r="T24" s="41"/>
      <c r="U24" s="41"/>
      <c r="V24" s="280"/>
    </row>
    <row r="25" spans="2:22">
      <c r="B25" s="346" t="str">
        <f>C$18</f>
        <v>Si</v>
      </c>
      <c r="C25" s="405">
        <v>100</v>
      </c>
      <c r="D25" s="39" t="s">
        <v>350</v>
      </c>
      <c r="F25" s="40" t="s">
        <v>119</v>
      </c>
      <c r="H25" s="117">
        <f>[1]!srEnew(K$6,H24,H$6)</f>
        <v>90.491022029976861</v>
      </c>
      <c r="I25" s="124">
        <f>[1]!srE2LETt(K$18,H25,0)</f>
        <v>2.1095595796539586</v>
      </c>
      <c r="J25" s="331">
        <f>[1]!srE2Rng(K$18,H25)</f>
        <v>4294.0673976461121</v>
      </c>
      <c r="K25" s="331">
        <f>[1]!srE2Rng(K$10,H25)</f>
        <v>3795.3535861583341</v>
      </c>
      <c r="L25" s="331">
        <f>[1]!srE2Rng(K$12,H25)/H$18/1000</f>
        <v>7691.6411182783959</v>
      </c>
      <c r="M25" s="124">
        <f>[1]!srE2LETt(K$12,H25,0)</f>
        <v>2.3213607881299669</v>
      </c>
      <c r="O25" s="41"/>
      <c r="P25" s="280"/>
      <c r="Q25" s="280"/>
      <c r="R25" s="280"/>
      <c r="S25" s="280"/>
      <c r="T25" s="280"/>
      <c r="U25" s="280"/>
      <c r="V25" s="41"/>
    </row>
    <row r="26" spans="2:22">
      <c r="B26" s="385" t="s">
        <v>352</v>
      </c>
      <c r="C26" s="386"/>
      <c r="D26" s="387"/>
      <c r="F26" s="40" t="s">
        <v>120</v>
      </c>
      <c r="H26" s="359">
        <f>[1]!srEnew(K$7,H25,H$7)</f>
        <v>89.813938696643532</v>
      </c>
      <c r="I26" s="124">
        <f>[1]!srE2LETt(K$18,H26,0)</f>
        <v>2.1211564354872916</v>
      </c>
      <c r="J26" s="331">
        <f>[1]!srE2Rng(K$18,H26)</f>
        <v>4238.8173976461121</v>
      </c>
      <c r="K26" s="331">
        <f>[1]!srE2Rng(K$10,H26)</f>
        <v>3746.6035861583346</v>
      </c>
      <c r="L26" s="331">
        <f>[1]!srE2Rng(K$12,H26)/H$18/1000</f>
        <v>7592.3094558521871</v>
      </c>
      <c r="M26" s="124">
        <f>[1]!srE2LETt(K$12,H26,0)</f>
        <v>2.3343661506299669</v>
      </c>
      <c r="O26" s="41"/>
      <c r="P26" s="280"/>
      <c r="Q26" s="280"/>
      <c r="R26" s="280"/>
      <c r="S26" s="280"/>
      <c r="T26" s="280"/>
      <c r="U26" s="280"/>
      <c r="V26" s="41"/>
    </row>
    <row r="27" spans="2:22">
      <c r="B27" s="39"/>
      <c r="C27" s="406">
        <v>60</v>
      </c>
      <c r="D27" s="39" t="s">
        <v>353</v>
      </c>
      <c r="F27" s="40" t="s">
        <v>311</v>
      </c>
      <c r="H27" s="117">
        <f>[1]!srEnew(K$10,H26,H$8)</f>
        <v>89.61949425219909</v>
      </c>
      <c r="I27" s="124">
        <f>[1]!srE2LETt(K$18,H27,0)</f>
        <v>2.1244868145984026</v>
      </c>
      <c r="J27" s="331">
        <f>[1]!srE2Rng(K$18,H27)</f>
        <v>4222.9507309794453</v>
      </c>
      <c r="K27" s="331">
        <f>[1]!srE2Rng(K$10,H27)</f>
        <v>3732.6035861583346</v>
      </c>
      <c r="L27" s="331">
        <f>[1]!srE2Rng(K$12,H27)/H$18/1000</f>
        <v>7563.7834399759422</v>
      </c>
      <c r="M27" s="124">
        <f>[1]!srE2LETt(K$12,H27,0)</f>
        <v>2.3381010239633002</v>
      </c>
      <c r="O27" s="41"/>
      <c r="P27" s="280"/>
      <c r="Q27" s="280"/>
      <c r="R27" s="280"/>
      <c r="S27" s="280"/>
      <c r="T27" s="280"/>
      <c r="U27" s="280"/>
      <c r="V27" s="41"/>
    </row>
    <row r="28" spans="2:22">
      <c r="B28" s="388" t="s">
        <v>363</v>
      </c>
      <c r="C28" s="41"/>
      <c r="D28" s="41"/>
      <c r="F28" s="40" t="s">
        <v>313</v>
      </c>
      <c r="H28" s="117">
        <f>[1]!srEnew(K$8,H27,H$9)</f>
        <v>89.400316170007301</v>
      </c>
      <c r="I28" s="124">
        <f>[1]!srE2LETt(K$18,H28,0)</f>
        <v>2.1282408231463483</v>
      </c>
      <c r="J28" s="331">
        <f>[1]!srE2Rng(K$18,H28)</f>
        <v>4205.0657994725962</v>
      </c>
      <c r="K28" s="331">
        <f>[1]!srE2Rng(K$10,H28)</f>
        <v>3716.8227642405259</v>
      </c>
      <c r="L28" s="331">
        <f>[1]!srE2Rng(K$12,H28)/H$18/1000</f>
        <v>7531.6288702211132</v>
      </c>
      <c r="M28" s="124">
        <f>[1]!srE2LETt(K$12,H28,0)</f>
        <v>2.3423109790317933</v>
      </c>
      <c r="O28" s="280"/>
      <c r="P28" s="41"/>
      <c r="Q28" s="280"/>
      <c r="R28" s="280"/>
      <c r="S28" s="280"/>
      <c r="T28" s="280"/>
      <c r="U28" s="280"/>
      <c r="V28" s="41"/>
    </row>
    <row r="29" spans="2:22">
      <c r="B29" s="343" t="str">
        <f>C$14</f>
        <v>Epoxy</v>
      </c>
      <c r="C29" s="382">
        <f>C$21/COS(RADIANS(C$27))</f>
        <v>999.99999999999977</v>
      </c>
      <c r="D29" s="39" t="s">
        <v>350</v>
      </c>
      <c r="F29" s="40" t="s">
        <v>312</v>
      </c>
      <c r="H29" s="117">
        <f>[1]!srEnew(K$9,H28,H$10)</f>
        <v>85.957152316030445</v>
      </c>
      <c r="I29" s="124">
        <f>[1]!srE2LETt(K$18,H29,0)</f>
        <v>2.1909187391651419</v>
      </c>
      <c r="J29" s="331">
        <f>[1]!srE2Rng(K$18,H29)</f>
        <v>3931.5092978711382</v>
      </c>
      <c r="K29" s="331">
        <f>[1]!srE2Rng(K$10,H29)</f>
        <v>3473.8520793428947</v>
      </c>
      <c r="L29" s="331">
        <f>[1]!srE2Rng(K$12,H29)/H$18/1000</f>
        <v>7036.6714997799181</v>
      </c>
      <c r="M29" s="124">
        <f>[1]!srE2LETt(K$12,H29,0)</f>
        <v>2.4126453179468017</v>
      </c>
      <c r="O29" s="401"/>
      <c r="P29" s="41"/>
      <c r="Q29" s="280"/>
      <c r="R29" s="280"/>
      <c r="S29" s="280"/>
      <c r="T29" s="280"/>
      <c r="U29" s="280"/>
      <c r="V29" s="41"/>
    </row>
    <row r="30" spans="2:22">
      <c r="B30" s="344" t="str">
        <f>C$15</f>
        <v>SiO2</v>
      </c>
      <c r="C30" s="62">
        <f>C$22/COS(RADIANS(C$27))</f>
        <v>399.99999999999989</v>
      </c>
      <c r="D30" s="39" t="s">
        <v>350</v>
      </c>
      <c r="F30" s="40" t="s">
        <v>314</v>
      </c>
      <c r="H30" s="117">
        <f>[1]!srEnew(K$8,H29,H$11)</f>
        <v>85.646490551324561</v>
      </c>
      <c r="I30" s="124">
        <f>[1]!srE2LETt(K$18,H30,0)</f>
        <v>2.1969855856651419</v>
      </c>
      <c r="J30" s="331">
        <f>[1]!srE2Rng(K$18,H30)</f>
        <v>3907.6504743417263</v>
      </c>
      <c r="K30" s="331">
        <f>[1]!srE2Rng(K$10,H30)</f>
        <v>3452.4785499311297</v>
      </c>
      <c r="L30" s="331">
        <f>[1]!srE2Rng(K$12,H30)/H$18/1000</f>
        <v>6993.1441420875344</v>
      </c>
      <c r="M30" s="124">
        <f>[1]!srE2LETt(K$12,H30,0)</f>
        <v>2.419457842152684</v>
      </c>
      <c r="O30" s="41"/>
      <c r="P30" s="280"/>
      <c r="Q30" s="280"/>
      <c r="R30" s="280"/>
      <c r="S30" s="280"/>
      <c r="T30" s="400"/>
      <c r="U30" s="280"/>
      <c r="V30" s="41"/>
    </row>
    <row r="31" spans="2:22" ht="14.25" thickBot="1">
      <c r="B31" s="344" t="str">
        <f>C$16</f>
        <v>Kapton</v>
      </c>
      <c r="C31" s="62">
        <f>C$23/COS(RADIANS(C$27))</f>
        <v>0</v>
      </c>
      <c r="D31" s="39" t="s">
        <v>350</v>
      </c>
      <c r="F31" s="110" t="s">
        <v>341</v>
      </c>
      <c r="H31" s="117">
        <f>[1]!srEnew(K$10,H30,H$12)</f>
        <v>85.210444039696654</v>
      </c>
      <c r="I31" s="124">
        <f>[1]!srE2LETt(K$18,H31,0)</f>
        <v>2.2055010438046767</v>
      </c>
      <c r="J31" s="331">
        <f>[1]!srE2Rng(K$18,H31)</f>
        <v>3874.1621022487029</v>
      </c>
      <c r="K31" s="331">
        <f>[1]!srE2Rng(K$10,H31)</f>
        <v>3422.4785499311297</v>
      </c>
      <c r="L31" s="331">
        <f>[1]!srE2Rng(K$12,H31)/H$18/1000</f>
        <v>6932.0489104290345</v>
      </c>
      <c r="M31" s="124">
        <f>[1]!srE2LETt(K$12,H31,0)</f>
        <v>2.4290199375015216</v>
      </c>
      <c r="O31" s="41"/>
      <c r="P31" s="280"/>
      <c r="Q31" s="280"/>
      <c r="R31" s="280"/>
      <c r="S31" s="280"/>
      <c r="T31" s="400"/>
      <c r="U31" s="280"/>
      <c r="V31" s="41"/>
    </row>
    <row r="32" spans="2:22" ht="14.25" thickBot="1">
      <c r="B32" s="345" t="str">
        <f>C$18</f>
        <v>Si</v>
      </c>
      <c r="C32" s="383">
        <f>C$25/COS(RADIANS(C$27))</f>
        <v>199.99999999999994</v>
      </c>
      <c r="D32" s="39" t="s">
        <v>350</v>
      </c>
      <c r="F32" s="40" t="s">
        <v>121</v>
      </c>
      <c r="H32" s="272">
        <f>[1]!srEnewGas(K$12,H31,H$13,H17*100,H16)</f>
        <v>84.175555678204532</v>
      </c>
      <c r="I32" s="332">
        <f>[1]!srE2LETt(K$18,H32,0)</f>
        <v>2.2257111550803703</v>
      </c>
      <c r="J32" s="331">
        <f>[1]!srE2Rng(K$18,H32)</f>
        <v>3794.6826760861081</v>
      </c>
      <c r="K32" s="294">
        <f>[1]!srE2Rng(K$10,H32)</f>
        <v>3351.2782306604718</v>
      </c>
      <c r="L32" s="331">
        <f>[1]!srE2Rng(K$12,H32)/H$18/1000</f>
        <v>6787.0489104290355</v>
      </c>
      <c r="M32" s="124">
        <f>[1]!srE2LETt(K$12,H32,0)</f>
        <v>2.4517140788926444</v>
      </c>
      <c r="O32" s="41"/>
      <c r="P32" s="280"/>
      <c r="Q32" s="280"/>
      <c r="R32" s="280"/>
      <c r="S32" s="280"/>
      <c r="T32" s="400"/>
      <c r="U32" s="280"/>
      <c r="V32" s="41"/>
    </row>
    <row r="33" spans="2:24">
      <c r="F33" s="369" t="s">
        <v>361</v>
      </c>
      <c r="G33" s="370"/>
      <c r="H33" s="148"/>
      <c r="I33" s="316"/>
      <c r="J33" s="36"/>
      <c r="K33" s="333"/>
      <c r="L33" s="36"/>
      <c r="M33" s="316"/>
      <c r="O33" s="41"/>
      <c r="P33" s="280"/>
      <c r="Q33" s="280"/>
      <c r="R33" s="280"/>
      <c r="S33" s="280"/>
      <c r="T33" s="280"/>
      <c r="U33" s="280"/>
      <c r="V33" s="41"/>
    </row>
    <row r="34" spans="2:24">
      <c r="F34" s="40" t="s">
        <v>360</v>
      </c>
      <c r="H34" s="360">
        <f>[1]!srEnewGas(K$12,H32,H$14,H17*100,H16)</f>
        <v>82.748123455456764</v>
      </c>
      <c r="I34" s="115">
        <f>[1]!srE2LETt(K$18,H34,0)</f>
        <v>2.2535871706330513</v>
      </c>
      <c r="J34" s="331">
        <f>[1]!srE2Rng(K$18,H34)</f>
        <v>3685.0558813790794</v>
      </c>
      <c r="K34" s="408">
        <f>[1]!srE2Rng(K$10,H34)</f>
        <v>3253.0708937354252</v>
      </c>
      <c r="L34" s="331">
        <f>[1]!srE2Rng(K$12,H34)/H$18/1000</f>
        <v>6587.0489104290345</v>
      </c>
      <c r="M34" s="124">
        <f>[1]!srE2LETt(K$12,H34,0)</f>
        <v>2.4830163428804002</v>
      </c>
      <c r="P34" s="36"/>
      <c r="Q34" s="119"/>
      <c r="R34" s="36"/>
      <c r="S34" s="36"/>
      <c r="T34" s="118"/>
      <c r="U34" s="36"/>
    </row>
    <row r="35" spans="2:24">
      <c r="F35" s="374" t="s">
        <v>362</v>
      </c>
      <c r="G35" s="375"/>
      <c r="H35" s="39"/>
      <c r="I35" s="334"/>
      <c r="J35" s="331"/>
      <c r="K35" s="335"/>
      <c r="L35" s="331"/>
      <c r="M35" s="124"/>
      <c r="P35" s="36"/>
      <c r="Q35" s="36"/>
      <c r="R35" s="36"/>
      <c r="S35" s="36"/>
      <c r="T35" s="118"/>
      <c r="U35" s="36"/>
    </row>
    <row r="36" spans="2:24">
      <c r="B36" s="39"/>
      <c r="C36" s="153"/>
      <c r="D36" s="153"/>
      <c r="F36" s="361" t="str">
        <f>" aft "&amp;$B$29</f>
        <v xml:space="preserve"> aft Epoxy</v>
      </c>
      <c r="G36" s="41"/>
      <c r="H36" s="376">
        <f>[1]!srEnew(K$14,H34,$C$29)</f>
        <v>69.31604938120087</v>
      </c>
      <c r="I36" s="377">
        <f>[1]!srE2LETt(K$18,H36,0)</f>
        <v>2.5731218259854556</v>
      </c>
      <c r="J36" s="331">
        <f>[1]!srE2Rng(K$18,H36)</f>
        <v>2718.9441974266197</v>
      </c>
      <c r="K36" s="331">
        <f>[1]!srE2Rng(K$10,H36)</f>
        <v>2404.4158023770128</v>
      </c>
      <c r="L36" s="331">
        <f>[1]!srE2Rng(K$12,H36)/H$18/1000</f>
        <v>4850.2621481446458</v>
      </c>
      <c r="M36" s="124">
        <f>[1]!srE2LETt(K$12,H36,0)</f>
        <v>2.8413395687162306</v>
      </c>
      <c r="P36" s="36"/>
      <c r="Q36" s="36"/>
      <c r="R36" s="36"/>
      <c r="S36" s="36"/>
      <c r="T36" s="118"/>
      <c r="U36" s="36"/>
    </row>
    <row r="37" spans="2:24">
      <c r="B37" s="39"/>
      <c r="C37" s="153"/>
      <c r="D37" s="153"/>
      <c r="F37" s="361" t="str">
        <f>" aft "&amp;$B$30</f>
        <v xml:space="preserve"> aft SiO2</v>
      </c>
      <c r="G37" s="41"/>
      <c r="H37" s="376">
        <f>[1]!srEnew(K$15,H36,$C$30)</f>
        <v>62.781790121821999</v>
      </c>
      <c r="I37" s="377">
        <f>[1]!srE2LETt(K$18,H37,0)</f>
        <v>2.7723643399072952</v>
      </c>
      <c r="J37" s="331">
        <f>[1]!srE2Rng(K$18,H37)</f>
        <v>2298.0345677966079</v>
      </c>
      <c r="K37" s="331">
        <f>[1]!srE2Rng(K$10,H37)</f>
        <v>2026.2311110169469</v>
      </c>
      <c r="L37" s="331">
        <f>[1]!srE2Rng(K$12,H37)/H$18/1000</f>
        <v>4091.6339456517394</v>
      </c>
      <c r="M37" s="124">
        <f>[1]!srE2LETt(K$12,H37,0)</f>
        <v>3.0662700126002558</v>
      </c>
      <c r="P37" s="36"/>
      <c r="Q37" s="36"/>
      <c r="R37" s="36"/>
      <c r="S37" s="36"/>
      <c r="T37" s="118"/>
      <c r="U37" s="36"/>
    </row>
    <row r="38" spans="2:24">
      <c r="B38" s="39"/>
      <c r="C38" s="153"/>
      <c r="D38" s="153"/>
      <c r="F38" s="361" t="str">
        <f>" aft "&amp;$B$31</f>
        <v xml:space="preserve"> aft Kapton</v>
      </c>
      <c r="G38" s="41"/>
      <c r="H38" s="376">
        <f>[1]!srEnew(K$16,H37,$C$31)</f>
        <v>62.781790121821999</v>
      </c>
      <c r="I38" s="377">
        <f>[1]!srE2LETt(K$18,H38,0)</f>
        <v>2.7723643399072952</v>
      </c>
      <c r="J38" s="331">
        <f>[1]!srE2Rng(K$18,H38)</f>
        <v>2298.0345677966079</v>
      </c>
      <c r="K38" s="331">
        <f>[1]!srE2Rng(K$10,H38)</f>
        <v>2026.2311110169469</v>
      </c>
      <c r="L38" s="331">
        <f>[1]!srE2Rng(K$12,H38)/H$18/1000</f>
        <v>4091.6339456517394</v>
      </c>
      <c r="M38" s="124">
        <f>[1]!srE2LETt(K$12,H38,0)</f>
        <v>3.0662700126002558</v>
      </c>
      <c r="P38" s="36"/>
      <c r="Q38" s="36"/>
      <c r="R38" s="36"/>
      <c r="S38" s="36"/>
      <c r="T38" s="118"/>
      <c r="U38" s="36"/>
    </row>
    <row r="39" spans="2:24">
      <c r="B39" s="39"/>
      <c r="C39" s="153"/>
      <c r="D39" s="153"/>
      <c r="F39" s="361" t="str">
        <f>" aft "&amp;$B$32</f>
        <v xml:space="preserve"> aft Si</v>
      </c>
      <c r="G39" s="146" t="s">
        <v>232</v>
      </c>
      <c r="H39" s="376">
        <f>[1]!srEnew(K$18,H38,$C$32)</f>
        <v>59.507147496654738</v>
      </c>
      <c r="I39" s="377">
        <f>[1]!srE2LETt(K$18,H39,0)</f>
        <v>2.8922159225590334</v>
      </c>
      <c r="J39" s="331">
        <f>[1]!srE2Rng(K$18,H39)</f>
        <v>2098.0345677966079</v>
      </c>
      <c r="K39" s="362">
        <f>[1]!srE2Rng(K$10,H39)</f>
        <v>1851.97738782337</v>
      </c>
      <c r="L39" s="331">
        <f>[1]!srE2Rng(K$12,H39)/H$18/1000</f>
        <v>3738.4522915714178</v>
      </c>
      <c r="M39" s="124">
        <f>[1]!srE2LETt(K$12,H39,0)</f>
        <v>3.2011371947437568</v>
      </c>
      <c r="O39" s="348" t="s">
        <v>367</v>
      </c>
      <c r="P39" s="36"/>
      <c r="Q39" s="36"/>
      <c r="R39" s="36"/>
      <c r="S39" s="36"/>
      <c r="T39" s="118"/>
      <c r="U39" s="36"/>
    </row>
    <row r="40" spans="2:24">
      <c r="F40" s="378" t="str">
        <f>$B$25&amp;" 感応層 入口で"</f>
        <v>Si 感応層 入口で</v>
      </c>
      <c r="G40" s="146" t="s">
        <v>233</v>
      </c>
      <c r="J40" s="331"/>
      <c r="K40" s="331"/>
      <c r="L40" s="331"/>
      <c r="M40" s="124"/>
      <c r="O40" s="389" t="str">
        <f>"bef "&amp;$B$32</f>
        <v>bef Si</v>
      </c>
      <c r="P40" s="389" t="str">
        <f>"bef "&amp;$B$31</f>
        <v>bef Kapton</v>
      </c>
      <c r="Q40" s="389" t="str">
        <f>"bef "&amp;$B$30</f>
        <v>bef SiO2</v>
      </c>
      <c r="R40" s="389" t="str">
        <f>"bef "&amp;$B$29</f>
        <v>bef Epoxy</v>
      </c>
      <c r="S40" s="389" t="s">
        <v>374</v>
      </c>
      <c r="T40" s="420" t="s">
        <v>375</v>
      </c>
    </row>
    <row r="41" spans="2:24">
      <c r="F41" s="379" t="s">
        <v>229</v>
      </c>
      <c r="G41" s="412">
        <f>K$32-T41</f>
        <v>-722.76380276402779</v>
      </c>
      <c r="H41" s="117">
        <f>[1]!srLETt2Eh(K$18,I41,0)</f>
        <v>72.101440718357054</v>
      </c>
      <c r="I41" s="407">
        <v>2.5</v>
      </c>
      <c r="J41" s="331">
        <f>[1]!srE2Rng(K$18,H41)</f>
        <v>2910.5791214229653</v>
      </c>
      <c r="K41" s="331">
        <f>[1]!srE2Rng(K$10,H41)</f>
        <v>2573.7675956761091</v>
      </c>
      <c r="L41" s="331">
        <f>[1]!srE2Rng(K$12,H41)/H$18/1000</f>
        <v>5194.6145033039311</v>
      </c>
      <c r="M41" s="124">
        <f>[1]!srE2LETt(K$12,H41,0)</f>
        <v>2.7593035099941243</v>
      </c>
      <c r="O41" s="117">
        <f>[1]!srEold(K$18,H41,$C$32)</f>
        <v>75.007868497594643</v>
      </c>
      <c r="P41" s="117">
        <f>[1]!srEold(K$16,O41,$C$31)</f>
        <v>75.007868497594643</v>
      </c>
      <c r="Q41" s="117">
        <f>[1]!srEold(K$15,P41,$C$30)</f>
        <v>80.68968667941283</v>
      </c>
      <c r="R41" s="117">
        <f>[1]!srEold(K$14,Q41,$C$29)</f>
        <v>92.992403088688775</v>
      </c>
      <c r="S41" s="117">
        <f>[1]!srEoldGas(K$12,R41,H$14,H$17*100,H$16)</f>
        <v>94.323463976881499</v>
      </c>
      <c r="T41" s="30">
        <f>[1]!srE2Rng(K$10,S41)</f>
        <v>4074.0420334244996</v>
      </c>
      <c r="V41" s="30"/>
      <c r="W41" s="30"/>
      <c r="X41" s="30"/>
    </row>
    <row r="42" spans="2:24">
      <c r="C42" s="125"/>
      <c r="F42" s="380" t="s">
        <v>230</v>
      </c>
      <c r="G42" s="412">
        <f>K$32-T42</f>
        <v>153.96167297005695</v>
      </c>
      <c r="H42" s="117">
        <f>[1]!srLETt2Eh(K$18,I42,0)</f>
        <v>56.604820190687917</v>
      </c>
      <c r="I42" s="407">
        <v>3</v>
      </c>
      <c r="J42" s="331">
        <f>[1]!srE2Rng(K$18,H42)</f>
        <v>1921.5730675938253</v>
      </c>
      <c r="K42" s="331">
        <f>[1]!srE2Rng(K$10,H42)</f>
        <v>1698.7345060683219</v>
      </c>
      <c r="L42" s="331">
        <f>[1]!srE2Rng(K$12,H42)/H$18/1000</f>
        <v>3427.4845653260259</v>
      </c>
      <c r="M42" s="124">
        <f>[1]!srE2LETt(K$12,H42,0)</f>
        <v>3.3223894640015161</v>
      </c>
      <c r="O42" s="117">
        <f>[1]!srEold(K$18,H42,$C$32)</f>
        <v>59.894293874898445</v>
      </c>
      <c r="P42" s="117">
        <f>[1]!srEold(K$16,O42,$C$31)</f>
        <v>59.894293874898445</v>
      </c>
      <c r="Q42" s="117">
        <f>[1]!srEold(K$15,P42,$C$30)</f>
        <v>66.610383670956409</v>
      </c>
      <c r="R42" s="117">
        <f>[1]!srEold(K$14,Q42,$C$29)</f>
        <v>80.464077718941923</v>
      </c>
      <c r="S42" s="117">
        <f>[1]!srEoldGas(K$12,R42,H$14,H$17*100,H$16)</f>
        <v>81.937740664104865</v>
      </c>
      <c r="T42" s="30">
        <f>[1]!srE2Rng(K$10,S42)</f>
        <v>3197.3165576904148</v>
      </c>
    </row>
    <row r="43" spans="2:24">
      <c r="C43" s="125"/>
      <c r="F43" s="379" t="s">
        <v>231</v>
      </c>
      <c r="G43" s="412">
        <f t="shared" ref="G43:G44" si="2">K$32-T43</f>
        <v>1494.9202854995683</v>
      </c>
      <c r="H43" s="117">
        <f>[1]!srLETt2Eh(K$18,I43,0)</f>
        <v>21.397622153639471</v>
      </c>
      <c r="I43" s="407">
        <v>6</v>
      </c>
      <c r="J43" s="331">
        <f>[1]!srE2Rng(K$18,H43)</f>
        <v>396.71994603716166</v>
      </c>
      <c r="K43" s="331">
        <f>[1]!srE2Rng(K$10,H43)</f>
        <v>349.30716413508935</v>
      </c>
      <c r="L43" s="331">
        <f>[1]!srE2Rng(K$12,H43)/H$18/1000</f>
        <v>695.78259609519546</v>
      </c>
      <c r="M43" s="124">
        <f>[1]!srE2LETt(K$12,H43,0)</f>
        <v>6.6040476471792893</v>
      </c>
      <c r="O43" s="117">
        <f>[1]!srEold(K$18,H43,$C$32)</f>
        <v>27.742255352913961</v>
      </c>
      <c r="P43" s="117">
        <f>[1]!srEold(K$16,O43,$C$31)</f>
        <v>27.742255352913961</v>
      </c>
      <c r="Q43" s="117">
        <f>[1]!srEold(K$15,P43,$C$30)</f>
        <v>38.577446641860796</v>
      </c>
      <c r="R43" s="117">
        <f>[1]!srEold(K$14,Q43,$C$29)</f>
        <v>57.723470460305002</v>
      </c>
      <c r="S43" s="117">
        <f>[1]!srEoldGas(K$12,R43,H$14,H$17*100,H$16)</f>
        <v>59.590112597744387</v>
      </c>
      <c r="T43" s="30">
        <f>[1]!srE2Rng(K$10,S43)</f>
        <v>1856.3579451609035</v>
      </c>
    </row>
    <row r="44" spans="2:24">
      <c r="C44" s="125"/>
      <c r="F44" s="379" t="s">
        <v>237</v>
      </c>
      <c r="G44" s="412">
        <f t="shared" si="2"/>
        <v>1781.7104875434552</v>
      </c>
      <c r="H44" s="117">
        <f>[1]!srLETt2Eh(K$18,I44,0)</f>
        <v>5.6957749885807196</v>
      </c>
      <c r="I44" s="407">
        <v>13</v>
      </c>
      <c r="J44" s="331">
        <f>[1]!srE2Rng(K$18,H44)</f>
        <v>63.865745445794033</v>
      </c>
      <c r="K44" s="331">
        <f>[1]!srE2Rng(K$10,H44)</f>
        <v>56.049108264613011</v>
      </c>
      <c r="L44" s="331">
        <f>[1]!srE2Rng(K$12,H44)/H$18/1000</f>
        <v>108.40396118013874</v>
      </c>
      <c r="M44" s="124">
        <f>[1]!srE2LETt(K$12,H44,0)</f>
        <v>14.736952837148765</v>
      </c>
      <c r="O44" s="117">
        <f>[1]!srEold(K$18,H44,$C$32)</f>
        <v>16.389123588471978</v>
      </c>
      <c r="P44" s="117">
        <f>[1]!srEold(K$16,O44,$C$31)</f>
        <v>16.389123588471978</v>
      </c>
      <c r="Q44" s="117">
        <f>[1]!srEold(K$15,P44,$C$30)</f>
        <v>30.275027648842979</v>
      </c>
      <c r="R44" s="117">
        <f>[1]!srEold(K$14,Q44,$C$29)</f>
        <v>51.892857830188248</v>
      </c>
      <c r="S44" s="117">
        <f>[1]!srEoldGas(K$12,R44,H$14,H$17*100,H$16)</f>
        <v>53.949327981604512</v>
      </c>
      <c r="T44" s="30">
        <f>[1]!srE2Rng(K$10,S44)</f>
        <v>1569.5677431170166</v>
      </c>
    </row>
    <row r="45" spans="2:24">
      <c r="F45" s="379" t="s">
        <v>308</v>
      </c>
      <c r="G45" s="412">
        <f>K$32-T45</f>
        <v>1812.0969360220347</v>
      </c>
      <c r="H45" s="117">
        <f>[1]!srLETt2Eh(K$18,I45,0)</f>
        <v>2.633187298830022</v>
      </c>
      <c r="I45" s="407">
        <v>17</v>
      </c>
      <c r="J45" s="331">
        <f>[1]!srE2Rng(K$18,H45)</f>
        <v>28.087855464159823</v>
      </c>
      <c r="K45" s="331">
        <f>[1]!srE2Rng(K$10,H45)</f>
        <v>24.697375721657394</v>
      </c>
      <c r="L45" s="331">
        <f>[1]!srE2Rng(K$12,H45)/H$18/1000</f>
        <v>45.418344815844122</v>
      </c>
      <c r="M45" s="124">
        <f>[1]!srE2LETt(K$12,H45,0)</f>
        <v>19.324862524906756</v>
      </c>
      <c r="O45" s="117">
        <f>[1]!srEold(K$18,H45,$C$32)</f>
        <v>14.851082371332112</v>
      </c>
      <c r="P45" s="117">
        <f>[1]!srEold(K$16,O45,$C$31)</f>
        <v>14.851082371332112</v>
      </c>
      <c r="Q45" s="117">
        <f>[1]!srEold(K$15,P45,$C$30)</f>
        <v>29.290933214751028</v>
      </c>
      <c r="R45" s="117">
        <f>[1]!srEold(K$14,Q45,$C$29)</f>
        <v>51.25980682021784</v>
      </c>
      <c r="S45" s="117">
        <f>[1]!srEoldGas(K$12,R45,H$14,H$17*100,H$16)</f>
        <v>53.316276971634103</v>
      </c>
      <c r="T45" s="31">
        <f>[1]!srE2Rng(K$10,S45)</f>
        <v>1539.1812946384371</v>
      </c>
    </row>
    <row r="46" spans="2:24">
      <c r="F46" s="381" t="s">
        <v>95</v>
      </c>
      <c r="G46" s="412">
        <f>K$32-T46</f>
        <v>1824.266117346323</v>
      </c>
      <c r="H46" s="117">
        <f>[1]!srLETt2Eh(K$18,I46,0)</f>
        <v>1.125</v>
      </c>
      <c r="I46" s="419">
        <f>[1]!srMaxLETt(K$18,0)</f>
        <v>18.666679999999999</v>
      </c>
      <c r="J46" s="331">
        <f>[1]!srE2Rng(K$18,H46)</f>
        <v>13.7</v>
      </c>
      <c r="K46" s="331">
        <f>[1]!srE2Rng(K$10,H46)</f>
        <v>12.16</v>
      </c>
      <c r="L46" s="331">
        <f>[1]!srE2Rng(K$12,H46)/H$18/1000</f>
        <v>21.315527352791079</v>
      </c>
      <c r="M46" s="124">
        <f>[1]!srE2LETt(K$12,H46,0)</f>
        <v>24.168430000000001</v>
      </c>
      <c r="O46" s="117">
        <f>[1]!srEold(K$18,H46,$C$32)</f>
        <v>14.198275862068963</v>
      </c>
      <c r="P46" s="117">
        <f>[1]!srEold(K$16,O46,$C$31)</f>
        <v>14.198275862068963</v>
      </c>
      <c r="Q46" s="117">
        <f>[1]!srEold(K$15,P46,$C$30)</f>
        <v>28.890194301697239</v>
      </c>
      <c r="R46" s="117">
        <f>[1]!srEold(K$14,Q46,$C$29)</f>
        <v>51.006282209295172</v>
      </c>
      <c r="S46" s="117">
        <f>[1]!srEoldGas(K$12,R46,H$14,H$17*100,H$16)</f>
        <v>53.062752360711436</v>
      </c>
      <c r="T46" s="30">
        <f>[1]!srE2Rng(K$10,S46)</f>
        <v>1527.0121133141488</v>
      </c>
    </row>
    <row r="47" spans="2:24">
      <c r="B47" s="39"/>
      <c r="C47" s="39"/>
      <c r="D47" s="39"/>
      <c r="G47" s="292"/>
      <c r="H47" s="149"/>
      <c r="I47" s="336"/>
      <c r="J47" s="331"/>
      <c r="K47" s="331"/>
      <c r="L47" s="331"/>
      <c r="M47" s="124"/>
      <c r="P47" s="36"/>
      <c r="Q47" s="36"/>
      <c r="R47" s="36"/>
      <c r="S47" s="36"/>
      <c r="T47" s="118"/>
      <c r="U47" s="36"/>
    </row>
    <row r="48" spans="2:24">
      <c r="B48" s="39"/>
      <c r="C48" s="39"/>
      <c r="D48" s="39"/>
      <c r="F48" s="364" t="s">
        <v>365</v>
      </c>
      <c r="G48" s="363"/>
      <c r="H48" s="36"/>
      <c r="I48" s="369" t="s">
        <v>114</v>
      </c>
      <c r="J48" s="373" t="str">
        <f>"Rin "&amp;$C$18</f>
        <v>Rin Si</v>
      </c>
      <c r="K48" s="371" t="s">
        <v>116</v>
      </c>
      <c r="L48" s="371" t="s">
        <v>117</v>
      </c>
      <c r="M48" s="372" t="s">
        <v>113</v>
      </c>
      <c r="P48" s="36"/>
      <c r="Q48" s="36"/>
      <c r="R48" s="36"/>
      <c r="S48" s="36"/>
      <c r="T48" s="118"/>
      <c r="U48" s="36"/>
    </row>
    <row r="49" spans="2:21">
      <c r="F49" s="365" t="s">
        <v>229</v>
      </c>
      <c r="G49" s="413">
        <f>G41</f>
        <v>-722.76380276402779</v>
      </c>
      <c r="H49" s="117">
        <f>[1]!srEnew(K$10,H$34,G49)</f>
        <v>92.997704118047949</v>
      </c>
      <c r="I49" s="418">
        <f>[1]!srE2LETt(K$11,H49,0)</f>
        <v>2.0666259710946582</v>
      </c>
      <c r="J49" s="331">
        <f>[1]!srE2Rng(K$11,H49)</f>
        <v>4498.6126560327129</v>
      </c>
      <c r="K49" s="331">
        <f>[1]!srE2Rng(K$10,H49)</f>
        <v>3975.8346964994525</v>
      </c>
      <c r="L49" s="331">
        <f>[1]!srE2Rng(K$12,H49)/H$18/1000</f>
        <v>8059.3844767750406</v>
      </c>
      <c r="M49" s="124">
        <f>[1]!srE2LETt(K$12,H49,0)</f>
        <v>2.2732126391168643</v>
      </c>
      <c r="P49" s="36"/>
      <c r="Q49" s="36"/>
      <c r="R49" s="36"/>
      <c r="S49" s="36"/>
      <c r="T49" s="36"/>
      <c r="U49" s="36"/>
    </row>
    <row r="50" spans="2:21">
      <c r="F50" s="366" t="s">
        <v>230</v>
      </c>
      <c r="G50" s="413">
        <f t="shared" ref="G50:G53" si="3">G42</f>
        <v>153.96167297005695</v>
      </c>
      <c r="H50" s="117">
        <f>[1]!srEnew(K$10,H$34,G50)</f>
        <v>80.454831574458879</v>
      </c>
      <c r="I50" s="409">
        <f>[1]!srE2LETt(K$11,H50,0)</f>
        <v>2.3007907913141059</v>
      </c>
      <c r="J50" s="331">
        <f>[1]!srE2Rng(K$11,H50)</f>
        <v>3511.4756038801734</v>
      </c>
      <c r="K50" s="331">
        <f>[1]!srE2Rng(K$10,H50)</f>
        <v>3099.1092207653683</v>
      </c>
      <c r="L50" s="331">
        <f>[1]!srE2Rng(K$12,H50)/H$18/1000</f>
        <v>6272.2854867189708</v>
      </c>
      <c r="M50" s="124">
        <f>[1]!srE2LETt(K$12,H50,0)</f>
        <v>2.5359790038854744</v>
      </c>
      <c r="P50" s="36"/>
      <c r="Q50" s="36"/>
      <c r="R50" s="36"/>
      <c r="S50" s="36"/>
      <c r="T50" s="36"/>
      <c r="U50" s="36"/>
    </row>
    <row r="51" spans="2:21">
      <c r="F51" s="367" t="s">
        <v>231</v>
      </c>
      <c r="G51" s="413">
        <f t="shared" si="3"/>
        <v>1494.9202854995683</v>
      </c>
      <c r="H51" s="117">
        <f>[1]!srEnew(K$10,H$34,G51)</f>
        <v>57.730125155982137</v>
      </c>
      <c r="I51" s="410">
        <f>[1]!srE2LETt(K$11,H51,0)</f>
        <v>2.9582094144672726</v>
      </c>
      <c r="J51" s="331">
        <f>[1]!srE2Rng(K$11,H51)</f>
        <v>1989.991609483714</v>
      </c>
      <c r="K51" s="331">
        <f>[1]!srE2Rng(K$10,H51)</f>
        <v>1758.1506082358567</v>
      </c>
      <c r="L51" s="331">
        <f>[1]!srE2Rng(K$12,H51)/H$18/1000</f>
        <v>3548.0545388334153</v>
      </c>
      <c r="M51" s="124">
        <f>[1]!srE2LETt(K$12,H51,0)</f>
        <v>3.2753769232834404</v>
      </c>
    </row>
    <row r="52" spans="2:21">
      <c r="F52" s="367" t="s">
        <v>237</v>
      </c>
      <c r="G52" s="413">
        <f t="shared" si="3"/>
        <v>1781.7104875434552</v>
      </c>
      <c r="H52" s="117">
        <f>[1]!srEnew(K$10,H$34,G52)</f>
        <v>51.903341795666044</v>
      </c>
      <c r="I52" s="411">
        <f>[1]!srE2LETt(K$11,H52,0)</f>
        <v>3.2100854849135172</v>
      </c>
      <c r="J52" s="331">
        <f>[1]!srE2Rng(K$11,H52)</f>
        <v>1663.5417936842327</v>
      </c>
      <c r="K52" s="331">
        <f>[1]!srE2Rng(K$10,H52)</f>
        <v>1471.36040619197</v>
      </c>
      <c r="L52" s="331">
        <f>[1]!srE2Rng(K$12,H52)/H$18/1000</f>
        <v>2966.7376100656566</v>
      </c>
      <c r="M52" s="124">
        <f>[1]!srE2LETt(K$12,H52,0)</f>
        <v>3.5598571788097377</v>
      </c>
    </row>
    <row r="53" spans="2:21">
      <c r="F53" s="368" t="s">
        <v>308</v>
      </c>
      <c r="G53" s="413">
        <f t="shared" si="3"/>
        <v>1812.0969360220347</v>
      </c>
      <c r="H53" s="117">
        <f>[1]!srEnew(K$10,H$34,G53)</f>
        <v>51.270290785695636</v>
      </c>
      <c r="I53" s="410">
        <f>[1]!srE2LETt(K$11,H53,0)</f>
        <v>3.2387634046823077</v>
      </c>
      <c r="J53" s="331">
        <f>[1]!srE2Rng(K$11,H53)</f>
        <v>1629.1038187418426</v>
      </c>
      <c r="K53" s="331">
        <f>[1]!srE2Rng(K$10,H53)</f>
        <v>1440.9739577133905</v>
      </c>
      <c r="L53" s="331">
        <f>[1]!srE2Rng(K$12,H53)/H$18/1000</f>
        <v>2905.1708511672177</v>
      </c>
      <c r="M53" s="124">
        <f>[1]!srE2LETt(K$12,H53,0)</f>
        <v>3.5922832669983609</v>
      </c>
    </row>
    <row r="54" spans="2:21">
      <c r="F54" s="337" t="s">
        <v>366</v>
      </c>
      <c r="G54" s="301">
        <f t="shared" ref="G54" si="4">K$34-K54</f>
        <v>3240.9108937354254</v>
      </c>
      <c r="H54" s="117">
        <f>[1]!srLETt2Eh(K$11,I54,0)</f>
        <v>1.125</v>
      </c>
      <c r="I54" s="338">
        <f>[1]!srMaxLETt(K$11,0)</f>
        <v>18.666679999999999</v>
      </c>
      <c r="J54" s="331">
        <f>[1]!srE2Rng(K$11,H54)</f>
        <v>13.7</v>
      </c>
      <c r="K54" s="331">
        <f>[1]!srE2Rng(K$10,H54)</f>
        <v>12.16</v>
      </c>
      <c r="L54" s="331">
        <f>[1]!srE2Rng(K$12,H54)/H$18/1000</f>
        <v>21.315527352791079</v>
      </c>
      <c r="M54" s="124">
        <f>[1]!srE2LETt(K$12,H54,0)</f>
        <v>24.168430000000001</v>
      </c>
    </row>
    <row r="55" spans="2:21">
      <c r="F55" s="337"/>
      <c r="G55" s="339"/>
      <c r="H55" s="117"/>
      <c r="I55" s="150"/>
      <c r="J55" s="331"/>
      <c r="K55" s="331"/>
      <c r="L55" s="331"/>
      <c r="M55" s="124"/>
    </row>
    <row r="63" spans="2:21">
      <c r="B63" s="146"/>
    </row>
  </sheetData>
  <phoneticPr fontId="18"/>
  <pageMargins left="0.23622047244094491" right="0.23622047244094491" top="0.39370078740157483" bottom="0.39370078740157483" header="0.31496062992125984" footer="0.31496062992125984"/>
  <pageSetup paperSize="8" scale="84" orientation="portrait" r:id="rId1"/>
  <headerFooter>
    <oddHeader>&amp;C&amp;F 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58"/>
  <sheetViews>
    <sheetView zoomScale="80" zoomScaleNormal="80" zoomScaleSheetLayoutView="90" workbookViewId="0">
      <selection activeCell="X37" sqref="X37"/>
    </sheetView>
  </sheetViews>
  <sheetFormatPr defaultColWidth="9" defaultRowHeight="13.5"/>
  <cols>
    <col min="1" max="1" width="2.125" style="40" customWidth="1"/>
    <col min="2" max="2" width="8.375" style="40" customWidth="1"/>
    <col min="3" max="3" width="8.125" style="40" customWidth="1"/>
    <col min="4" max="4" width="5.75" style="40" customWidth="1"/>
    <col min="5" max="6" width="7.75" style="40" customWidth="1"/>
    <col min="7" max="7" width="1.75" style="40" customWidth="1"/>
    <col min="8" max="8" width="9.375" style="40" customWidth="1"/>
    <col min="9" max="9" width="11.625" style="40" customWidth="1"/>
    <col min="10" max="10" width="7.125" style="40" customWidth="1"/>
    <col min="11" max="11" width="5.75" style="40" customWidth="1"/>
    <col min="12" max="13" width="10.375" style="40" customWidth="1"/>
    <col min="14" max="14" width="9.375" style="40" customWidth="1"/>
    <col min="15" max="15" width="3.375" style="40" customWidth="1"/>
    <col min="16" max="23" width="7.75" style="40" customWidth="1"/>
    <col min="24" max="16384" width="9" style="40"/>
  </cols>
  <sheetData>
    <row r="1" spans="2:14" s="94" customFormat="1" ht="9" customHeight="1">
      <c r="J1" s="95"/>
      <c r="K1" s="95"/>
      <c r="L1" s="95"/>
    </row>
    <row r="2" spans="2:14" ht="18.75">
      <c r="B2" s="105" t="str">
        <f>WBtitle</f>
        <v>2020.01/01 Ar(X01)</v>
      </c>
      <c r="J2" s="96"/>
      <c r="K2" s="96"/>
      <c r="L2" s="96"/>
    </row>
    <row r="3" spans="2:14" s="92" customFormat="1" ht="18.75">
      <c r="C3" s="93" t="s">
        <v>371</v>
      </c>
      <c r="D3" s="93"/>
      <c r="I3" s="309" t="s">
        <v>372</v>
      </c>
      <c r="L3" s="93"/>
    </row>
    <row r="4" spans="2:14" ht="7.5" customHeight="1"/>
    <row r="5" spans="2:14" ht="17.25" customHeight="1">
      <c r="B5" s="269" t="s">
        <v>304</v>
      </c>
      <c r="L5" s="40" t="s">
        <v>267</v>
      </c>
    </row>
    <row r="6" spans="2:14" ht="7.5" customHeight="1"/>
    <row r="8" spans="2:14" ht="17.25">
      <c r="B8" s="177"/>
      <c r="C8" s="187" t="s">
        <v>253</v>
      </c>
      <c r="D8" s="158"/>
      <c r="E8" s="159"/>
      <c r="F8" s="160"/>
      <c r="H8" s="187" t="s">
        <v>251</v>
      </c>
      <c r="I8" s="159"/>
      <c r="J8" s="159"/>
      <c r="K8" s="159"/>
      <c r="L8" s="253" t="s">
        <v>288</v>
      </c>
      <c r="M8" s="159"/>
      <c r="N8" s="160"/>
    </row>
    <row r="9" spans="2:14" ht="17.25">
      <c r="B9" s="178"/>
      <c r="C9" s="169"/>
      <c r="D9" s="251" t="s">
        <v>254</v>
      </c>
      <c r="E9" s="170"/>
      <c r="F9" s="171"/>
      <c r="H9" s="169"/>
      <c r="I9" s="170"/>
      <c r="J9" s="175"/>
      <c r="K9" s="175" t="s">
        <v>255</v>
      </c>
      <c r="L9" s="255">
        <v>100</v>
      </c>
      <c r="M9" s="170" t="s">
        <v>256</v>
      </c>
      <c r="N9" s="171"/>
    </row>
    <row r="10" spans="2:14" ht="15" customHeight="1">
      <c r="B10" s="178"/>
      <c r="C10" s="157"/>
      <c r="D10" s="160"/>
      <c r="E10" s="208" t="s">
        <v>239</v>
      </c>
      <c r="F10" s="160"/>
      <c r="G10" s="39"/>
      <c r="H10" s="184"/>
      <c r="I10" s="208" t="s">
        <v>268</v>
      </c>
      <c r="J10" s="210"/>
      <c r="K10" s="211"/>
      <c r="L10" s="156"/>
      <c r="M10" s="177"/>
      <c r="N10" s="208" t="s">
        <v>269</v>
      </c>
    </row>
    <row r="11" spans="2:14">
      <c r="B11" s="178" t="s">
        <v>266</v>
      </c>
      <c r="C11" s="161"/>
      <c r="D11" s="155"/>
      <c r="E11" s="184"/>
      <c r="F11" s="155"/>
      <c r="G11" s="39"/>
      <c r="H11" s="184"/>
      <c r="I11" s="184" t="s">
        <v>245</v>
      </c>
      <c r="J11" s="161"/>
      <c r="K11" s="155"/>
      <c r="L11" s="39"/>
      <c r="M11" s="184"/>
      <c r="N11" s="178" t="s">
        <v>262</v>
      </c>
    </row>
    <row r="12" spans="2:14" s="152" customFormat="1">
      <c r="B12" s="178" t="s">
        <v>264</v>
      </c>
      <c r="C12" s="252" t="s">
        <v>238</v>
      </c>
      <c r="D12" s="191"/>
      <c r="E12" s="178" t="s">
        <v>250</v>
      </c>
      <c r="F12" s="163" t="s">
        <v>242</v>
      </c>
      <c r="G12" s="12"/>
      <c r="H12" s="195" t="s">
        <v>243</v>
      </c>
      <c r="I12" s="178" t="s">
        <v>246</v>
      </c>
      <c r="J12" s="186" t="s">
        <v>238</v>
      </c>
      <c r="K12" s="163"/>
      <c r="L12" s="183" t="s">
        <v>252</v>
      </c>
      <c r="M12" s="178" t="s">
        <v>259</v>
      </c>
      <c r="N12" s="178" t="s">
        <v>263</v>
      </c>
    </row>
    <row r="13" spans="2:14" s="152" customFormat="1">
      <c r="B13" s="178" t="s">
        <v>265</v>
      </c>
      <c r="C13" s="162" t="s">
        <v>248</v>
      </c>
      <c r="D13" s="163"/>
      <c r="E13" s="178" t="s">
        <v>261</v>
      </c>
      <c r="F13" s="163" t="s">
        <v>260</v>
      </c>
      <c r="G13" s="12"/>
      <c r="H13" s="195" t="s">
        <v>244</v>
      </c>
      <c r="I13" s="178" t="s">
        <v>289</v>
      </c>
      <c r="J13" s="162" t="s">
        <v>249</v>
      </c>
      <c r="K13" s="163"/>
      <c r="L13" s="183" t="s">
        <v>270</v>
      </c>
      <c r="M13" s="178" t="s">
        <v>260</v>
      </c>
      <c r="N13" s="178" t="s">
        <v>271</v>
      </c>
    </row>
    <row r="14" spans="2:14" s="152" customFormat="1">
      <c r="B14" s="179"/>
      <c r="C14" s="162" t="s">
        <v>240</v>
      </c>
      <c r="D14" s="191" t="s">
        <v>258</v>
      </c>
      <c r="E14" s="178"/>
      <c r="F14" s="163" t="s">
        <v>241</v>
      </c>
      <c r="G14" s="207"/>
      <c r="H14" s="209" t="s">
        <v>247</v>
      </c>
      <c r="I14" s="178" t="s">
        <v>241</v>
      </c>
      <c r="J14" s="162" t="s">
        <v>240</v>
      </c>
      <c r="K14" s="191" t="s">
        <v>258</v>
      </c>
      <c r="L14" s="153"/>
      <c r="M14" s="178" t="s">
        <v>241</v>
      </c>
      <c r="N14" s="212"/>
    </row>
    <row r="15" spans="2:14" ht="2.25" customHeight="1">
      <c r="B15" s="161"/>
      <c r="C15" s="161"/>
      <c r="D15" s="155"/>
      <c r="E15" s="184"/>
      <c r="F15" s="155"/>
      <c r="H15" s="184"/>
      <c r="I15" s="184"/>
      <c r="J15" s="198"/>
      <c r="K15" s="155"/>
      <c r="L15" s="7"/>
      <c r="M15" s="184"/>
      <c r="N15" s="184"/>
    </row>
    <row r="16" spans="2:14" ht="17.25">
      <c r="B16" s="257" t="s">
        <v>94</v>
      </c>
      <c r="C16" s="256">
        <f>D16*$B$19</f>
        <v>394.51118770543735</v>
      </c>
      <c r="D16" s="192">
        <f>[1]!srEold($B$18,K16,I16)</f>
        <v>9.8627796926359341</v>
      </c>
      <c r="E16" s="204">
        <f>[1]!srE2LETt($B$18,D16,0)</f>
        <v>9.8246340320490386</v>
      </c>
      <c r="F16" s="181">
        <f>[1]!srE2Rng($B$18,D16)</f>
        <v>128.08785546415982</v>
      </c>
      <c r="G16" s="180"/>
      <c r="H16" s="216">
        <v>0</v>
      </c>
      <c r="I16" s="283">
        <f>$L$9/COS(RADIANS(H16))</f>
        <v>100</v>
      </c>
      <c r="J16" s="199">
        <f>K16*$B$19</f>
        <v>105.32749195320088</v>
      </c>
      <c r="K16" s="192">
        <f>[1]!srLETt2Eh($B$18,L16,0)</f>
        <v>2.633187298830022</v>
      </c>
      <c r="L16" s="219">
        <v>17</v>
      </c>
      <c r="M16" s="204">
        <f>[1]!srE2Rng($B$18,K16)</f>
        <v>28.087855464159823</v>
      </c>
      <c r="N16" s="204">
        <f>L16/COS(RADIANS(H16))</f>
        <v>17</v>
      </c>
    </row>
    <row r="17" spans="1:21">
      <c r="B17" s="164" t="s">
        <v>257</v>
      </c>
      <c r="C17" s="188"/>
      <c r="D17" s="193">
        <f>[1]!srEold($B$18,K17,I17)</f>
        <v>12.075797817940991</v>
      </c>
      <c r="E17" s="205">
        <f>[1]!srE2LETt($B$18,D17,0)</f>
        <v>8.7254049776687985</v>
      </c>
      <c r="F17" s="172">
        <f>[1]!srE2Rng($B$18,D17)</f>
        <v>169.50921170146933</v>
      </c>
      <c r="G17" s="182"/>
      <c r="H17" s="196">
        <v>45</v>
      </c>
      <c r="I17" s="284">
        <f t="shared" ref="I17:I27" si="0">$L$9/COS(RADIANS(H17))</f>
        <v>141.42135623730948</v>
      </c>
      <c r="J17" s="200">
        <f t="shared" ref="J17:J27" si="1">K17*$B$19</f>
        <v>105.32749195320088</v>
      </c>
      <c r="K17" s="193">
        <f>[1]!srLETt2Eh($B$18,L17,0)</f>
        <v>2.633187298830022</v>
      </c>
      <c r="L17" s="173">
        <f>L16</f>
        <v>17</v>
      </c>
      <c r="M17" s="205">
        <f>[1]!srE2Rng($B$18,K17)</f>
        <v>28.087855464159823</v>
      </c>
      <c r="N17" s="205">
        <f t="shared" ref="N17:N18" si="2">L17/COS(RADIANS(H17))</f>
        <v>24.041630560342615</v>
      </c>
    </row>
    <row r="18" spans="1:21">
      <c r="B18" s="165" t="str">
        <f>"srim"&amp;B16&amp;"_Si"</f>
        <v>srim40Ar_Si</v>
      </c>
      <c r="C18" s="214"/>
      <c r="D18" s="194">
        <f>[1]!srEold($B$18,K18,I18)</f>
        <v>14.851082371332112</v>
      </c>
      <c r="E18" s="206">
        <f>[1]!srE2LETt($B$18,D18,0)</f>
        <v>7.6568344004512694</v>
      </c>
      <c r="F18" s="190">
        <f>[1]!srE2Rng($B$18,D18)</f>
        <v>228.08785546415973</v>
      </c>
      <c r="G18" s="189"/>
      <c r="H18" s="217">
        <v>60</v>
      </c>
      <c r="I18" s="285">
        <f t="shared" si="0"/>
        <v>199.99999999999994</v>
      </c>
      <c r="J18" s="201">
        <f t="shared" si="1"/>
        <v>105.32749195320088</v>
      </c>
      <c r="K18" s="194">
        <f>[1]!srLETt2Eh($B$18,L18,0)</f>
        <v>2.633187298830022</v>
      </c>
      <c r="L18" s="221">
        <f>L16</f>
        <v>17</v>
      </c>
      <c r="M18" s="206">
        <f>[1]!srE2Rng($B$18,K18)</f>
        <v>28.087855464159823</v>
      </c>
      <c r="N18" s="206">
        <f t="shared" si="2"/>
        <v>33.999999999999993</v>
      </c>
    </row>
    <row r="19" spans="1:21">
      <c r="B19" s="166">
        <f>[1]!srInfoIonA(B18)</f>
        <v>40</v>
      </c>
      <c r="C19" s="213"/>
      <c r="D19" s="192">
        <f>[1]!srEold($B$18,K19,I19)</f>
        <v>11.787395004384406</v>
      </c>
      <c r="E19" s="204">
        <f>[1]!srE2LETt($B$18,D19,0)</f>
        <v>8.8551733233232142</v>
      </c>
      <c r="F19" s="181">
        <f>[1]!srE2Rng($B$18,D19)</f>
        <v>163.86574544579406</v>
      </c>
      <c r="G19" s="180"/>
      <c r="H19" s="218">
        <f>H$16</f>
        <v>0</v>
      </c>
      <c r="I19" s="283">
        <f>$L$9/COS(RADIANS(H19))</f>
        <v>100</v>
      </c>
      <c r="J19" s="199">
        <f>K19*$B$19</f>
        <v>227.83099954322878</v>
      </c>
      <c r="K19" s="192">
        <f>[1]!srLETt2Eh($B$18,L19,0)</f>
        <v>5.6957749885807196</v>
      </c>
      <c r="L19" s="219">
        <v>13</v>
      </c>
      <c r="M19" s="204">
        <f>[1]!srE2Rng($B$18,K19)</f>
        <v>63.865745445794033</v>
      </c>
      <c r="N19" s="204">
        <f>L19/COS(RADIANS(H19))</f>
        <v>13</v>
      </c>
      <c r="S19" s="39"/>
    </row>
    <row r="20" spans="1:21">
      <c r="B20" s="167">
        <f>[1]!srInfoIonZ(B18)</f>
        <v>18</v>
      </c>
      <c r="C20" s="188"/>
      <c r="D20" s="193">
        <f>[1]!srEold($B$18,K20,I20)</f>
        <v>13.816565412119035</v>
      </c>
      <c r="E20" s="205">
        <f>[1]!srE2LETt($B$18,D20,0)</f>
        <v>8.017930476030676</v>
      </c>
      <c r="F20" s="172">
        <f>[1]!srE2Rng($B$18,D20)</f>
        <v>205.28710168310351</v>
      </c>
      <c r="G20" s="182"/>
      <c r="H20" s="197">
        <f>H$17</f>
        <v>45</v>
      </c>
      <c r="I20" s="284">
        <f t="shared" si="0"/>
        <v>141.42135623730948</v>
      </c>
      <c r="J20" s="200">
        <f t="shared" si="1"/>
        <v>227.83099954322878</v>
      </c>
      <c r="K20" s="193">
        <f>[1]!srLETt2Eh($B$18,L20,0)</f>
        <v>5.6957749885807196</v>
      </c>
      <c r="L20" s="173">
        <f>L19</f>
        <v>13</v>
      </c>
      <c r="M20" s="205">
        <f>[1]!srE2Rng($B$18,K20)</f>
        <v>63.865745445794033</v>
      </c>
      <c r="N20" s="205">
        <f t="shared" ref="N20:N21" si="3">L20/COS(RADIANS(H20))</f>
        <v>18.384776310850235</v>
      </c>
    </row>
    <row r="21" spans="1:21">
      <c r="B21" s="161"/>
      <c r="C21" s="214"/>
      <c r="D21" s="194">
        <f>[1]!srEold($B$18,K21,I21)</f>
        <v>16.389123588471978</v>
      </c>
      <c r="E21" s="206">
        <f>[1]!srE2LETt($B$18,D21,0)</f>
        <v>7.1778323942291227</v>
      </c>
      <c r="F21" s="190">
        <f>[1]!srE2Rng($B$18,D21)</f>
        <v>263.865745445794</v>
      </c>
      <c r="G21" s="189"/>
      <c r="H21" s="220">
        <f>H$18</f>
        <v>60</v>
      </c>
      <c r="I21" s="285">
        <f t="shared" si="0"/>
        <v>199.99999999999994</v>
      </c>
      <c r="J21" s="201">
        <f t="shared" si="1"/>
        <v>227.83099954322878</v>
      </c>
      <c r="K21" s="194">
        <f>[1]!srLETt2Eh($B$18,L21,0)</f>
        <v>5.6957749885807196</v>
      </c>
      <c r="L21" s="221">
        <f>L19</f>
        <v>13</v>
      </c>
      <c r="M21" s="206">
        <f>[1]!srE2Rng($B$18,K21)</f>
        <v>63.865745445794033</v>
      </c>
      <c r="N21" s="206">
        <f t="shared" si="3"/>
        <v>25.999999999999993</v>
      </c>
    </row>
    <row r="22" spans="1:21">
      <c r="B22" s="161"/>
      <c r="C22" s="213"/>
      <c r="D22" s="192">
        <f>[1]!srEold($B$18,K22,I22)</f>
        <v>24.715208609616884</v>
      </c>
      <c r="E22" s="204">
        <f>[1]!srE2LETt($B$18,D22,0)</f>
        <v>5.4273788260197913</v>
      </c>
      <c r="F22" s="181">
        <f>[1]!srE2Rng($B$18,D22)</f>
        <v>496.71994603716166</v>
      </c>
      <c r="G22" s="180"/>
      <c r="H22" s="218">
        <f>H$16</f>
        <v>0</v>
      </c>
      <c r="I22" s="283">
        <f>$L$9/COS(RADIANS(H22))</f>
        <v>100</v>
      </c>
      <c r="J22" s="199">
        <f>K22*$B$19</f>
        <v>855.90488614557887</v>
      </c>
      <c r="K22" s="192">
        <f>[1]!srLETt2Eh($B$18,L22,0)</f>
        <v>21.397622153639471</v>
      </c>
      <c r="L22" s="219">
        <v>6</v>
      </c>
      <c r="M22" s="204">
        <f>[1]!srE2Rng($B$18,K22)</f>
        <v>396.71994603716166</v>
      </c>
      <c r="N22" s="204">
        <f>L22/COS(RADIANS(H22))</f>
        <v>6</v>
      </c>
    </row>
    <row r="23" spans="1:21">
      <c r="B23" s="161"/>
      <c r="C23" s="188"/>
      <c r="D23" s="193">
        <f>[1]!srEold($B$18,K23,I23)</f>
        <v>25.986252940938179</v>
      </c>
      <c r="E23" s="205">
        <f>[1]!srE2LETt($B$18,D23,0)</f>
        <v>5.249600706855384</v>
      </c>
      <c r="F23" s="172">
        <f>[1]!srE2Rng($B$18,D23)</f>
        <v>538.14130227447117</v>
      </c>
      <c r="G23" s="182"/>
      <c r="H23" s="197">
        <f>H$17</f>
        <v>45</v>
      </c>
      <c r="I23" s="284">
        <f t="shared" si="0"/>
        <v>141.42135623730948</v>
      </c>
      <c r="J23" s="200">
        <f t="shared" si="1"/>
        <v>855.90488614557887</v>
      </c>
      <c r="K23" s="193">
        <f>[1]!srLETt2Eh($B$18,L23,0)</f>
        <v>21.397622153639471</v>
      </c>
      <c r="L23" s="173">
        <f>L22</f>
        <v>6</v>
      </c>
      <c r="M23" s="205">
        <f>[1]!srE2Rng($B$18,K23)</f>
        <v>396.71994603716166</v>
      </c>
      <c r="N23" s="205">
        <f t="shared" ref="N23:N24" si="4">L23/COS(RADIANS(H23))</f>
        <v>8.4852813742385695</v>
      </c>
    </row>
    <row r="24" spans="1:21">
      <c r="A24" s="39"/>
      <c r="B24" s="161"/>
      <c r="C24" s="214"/>
      <c r="D24" s="194">
        <f>[1]!srEold($B$18,K24,I24)</f>
        <v>27.742255352913961</v>
      </c>
      <c r="E24" s="206">
        <f>[1]!srE2LETt($B$18,D24,0)</f>
        <v>5.0204816325764421</v>
      </c>
      <c r="F24" s="190">
        <f>[1]!srE2Rng($B$18,D24)</f>
        <v>596.71994603716166</v>
      </c>
      <c r="G24" s="189"/>
      <c r="H24" s="220">
        <f>H$18</f>
        <v>60</v>
      </c>
      <c r="I24" s="285">
        <f t="shared" si="0"/>
        <v>199.99999999999994</v>
      </c>
      <c r="J24" s="201">
        <f t="shared" si="1"/>
        <v>855.90488614557887</v>
      </c>
      <c r="K24" s="194">
        <f>[1]!srLETt2Eh($B$18,L24,0)</f>
        <v>21.397622153639471</v>
      </c>
      <c r="L24" s="221">
        <f>L22</f>
        <v>6</v>
      </c>
      <c r="M24" s="206">
        <f>[1]!srE2Rng($B$18,K24)</f>
        <v>396.71994603716166</v>
      </c>
      <c r="N24" s="206">
        <f t="shared" si="4"/>
        <v>11.999999999999998</v>
      </c>
    </row>
    <row r="25" spans="1:21">
      <c r="A25" s="39"/>
      <c r="B25" s="161"/>
      <c r="C25" s="215"/>
      <c r="D25" s="193">
        <f>[1]!srEold($B$18,K25,I25)</f>
        <v>58.249557032793177</v>
      </c>
      <c r="E25" s="205">
        <f>[1]!srE2LETt($B$18,D25,0)</f>
        <v>2.9389192105263158</v>
      </c>
      <c r="F25" s="172">
        <f>[1]!srE2Rng($B$18,D25)</f>
        <v>2021.5730675938253</v>
      </c>
      <c r="G25" s="182"/>
      <c r="H25" s="222">
        <f>H$16</f>
        <v>0</v>
      </c>
      <c r="I25" s="284">
        <f>$L$9/COS(RADIANS(H25))</f>
        <v>100</v>
      </c>
      <c r="J25" s="200">
        <f>K25*$B$19</f>
        <v>2264.1928076275167</v>
      </c>
      <c r="K25" s="193">
        <f>[1]!srLETt2Eh($B$18,L25,0)</f>
        <v>56.604820190687917</v>
      </c>
      <c r="L25" s="223">
        <v>3</v>
      </c>
      <c r="M25" s="205">
        <f>[1]!srE2Rng($B$18,K25)</f>
        <v>1921.5730675938253</v>
      </c>
      <c r="N25" s="205">
        <f>L25/COS(RADIANS(H25))</f>
        <v>3</v>
      </c>
    </row>
    <row r="26" spans="1:21">
      <c r="A26" s="39"/>
      <c r="B26" s="168"/>
      <c r="C26" s="188"/>
      <c r="D26" s="193">
        <f>[1]!srEold($B$18,K26,I26)</f>
        <v>58.930829339327872</v>
      </c>
      <c r="E26" s="205">
        <f>[1]!srE2LETt($B$18,D26,0)</f>
        <v>2.9136187191258602</v>
      </c>
      <c r="F26" s="172">
        <f>[1]!srE2Rng($B$18,D26)</f>
        <v>2062.9944238311346</v>
      </c>
      <c r="G26" s="182"/>
      <c r="H26" s="197">
        <f>H$17</f>
        <v>45</v>
      </c>
      <c r="I26" s="284">
        <f t="shared" si="0"/>
        <v>141.42135623730948</v>
      </c>
      <c r="J26" s="200">
        <f t="shared" si="1"/>
        <v>2264.1928076275167</v>
      </c>
      <c r="K26" s="193">
        <f>[1]!srLETt2Eh($B$18,L26,0)</f>
        <v>56.604820190687917</v>
      </c>
      <c r="L26" s="173">
        <f>L25</f>
        <v>3</v>
      </c>
      <c r="M26" s="205">
        <f>[1]!srE2Rng($B$18,K26)</f>
        <v>1921.5730675938253</v>
      </c>
      <c r="N26" s="205">
        <f t="shared" ref="N26:N27" si="5">L26/COS(RADIANS(H26))</f>
        <v>4.2426406871192848</v>
      </c>
    </row>
    <row r="27" spans="1:21">
      <c r="B27" s="161"/>
      <c r="C27" s="215"/>
      <c r="D27" s="193">
        <f>[1]!srEold($B$18,K27,I27)</f>
        <v>59.894293874898445</v>
      </c>
      <c r="E27" s="205">
        <f>[1]!srE2LETt($B$18,D27,0)</f>
        <v>2.8778384210526315</v>
      </c>
      <c r="F27" s="172">
        <f>[1]!srE2Rng($B$18,D27)</f>
        <v>2121.5730675938253</v>
      </c>
      <c r="G27" s="182"/>
      <c r="H27" s="222">
        <f>H$18</f>
        <v>60</v>
      </c>
      <c r="I27" s="284">
        <f t="shared" si="0"/>
        <v>199.99999999999994</v>
      </c>
      <c r="J27" s="200">
        <f t="shared" si="1"/>
        <v>2264.1928076275167</v>
      </c>
      <c r="K27" s="193">
        <f>[1]!srLETt2Eh($B$18,L27,0)</f>
        <v>56.604820190687917</v>
      </c>
      <c r="L27" s="224">
        <f>L25</f>
        <v>3</v>
      </c>
      <c r="M27" s="205">
        <f>[1]!srE2Rng($B$18,K27)</f>
        <v>1921.5730675938253</v>
      </c>
      <c r="N27" s="205">
        <f t="shared" si="5"/>
        <v>5.9999999999999991</v>
      </c>
    </row>
    <row r="28" spans="1:21" ht="4.5" customHeight="1">
      <c r="B28" s="169"/>
      <c r="C28" s="169"/>
      <c r="D28" s="171"/>
      <c r="E28" s="179"/>
      <c r="F28" s="176"/>
      <c r="G28" s="170"/>
      <c r="H28" s="185"/>
      <c r="I28" s="185"/>
      <c r="J28" s="202"/>
      <c r="K28" s="203"/>
      <c r="L28" s="170"/>
      <c r="M28" s="185"/>
      <c r="N28" s="185"/>
    </row>
    <row r="29" spans="1:21" ht="6" customHeight="1">
      <c r="G29" s="114"/>
      <c r="H29" s="114"/>
      <c r="I29" s="115"/>
    </row>
    <row r="30" spans="1:21">
      <c r="A30" s="39"/>
      <c r="B30" s="249" t="s">
        <v>276</v>
      </c>
      <c r="C30" s="40" t="s">
        <v>278</v>
      </c>
      <c r="G30" s="40" t="s">
        <v>274</v>
      </c>
      <c r="H30" s="250">
        <f>L9</f>
        <v>100</v>
      </c>
      <c r="I30" s="114" t="s">
        <v>275</v>
      </c>
      <c r="T30" s="39"/>
      <c r="U30" s="39"/>
    </row>
    <row r="31" spans="1:21">
      <c r="A31" s="39"/>
      <c r="B31" s="249" t="s">
        <v>277</v>
      </c>
      <c r="C31" s="39" t="s">
        <v>279</v>
      </c>
      <c r="D31" s="39"/>
      <c r="G31" s="40" t="s">
        <v>274</v>
      </c>
      <c r="H31" s="97" t="s">
        <v>280</v>
      </c>
      <c r="I31" s="114" t="s">
        <v>275</v>
      </c>
      <c r="T31" s="39"/>
      <c r="U31" s="39"/>
    </row>
    <row r="32" spans="1:21">
      <c r="A32" s="39"/>
      <c r="B32" s="249" t="s">
        <v>281</v>
      </c>
      <c r="C32" s="106" t="s">
        <v>282</v>
      </c>
      <c r="D32" s="106"/>
      <c r="T32" s="39"/>
      <c r="U32" s="39"/>
    </row>
    <row r="33" spans="1:21">
      <c r="C33" s="104" t="s">
        <v>283</v>
      </c>
      <c r="E33" s="40" t="s">
        <v>284</v>
      </c>
      <c r="T33" s="39"/>
      <c r="U33" s="39"/>
    </row>
    <row r="34" spans="1:21">
      <c r="C34" s="104" t="s">
        <v>285</v>
      </c>
      <c r="E34" s="40" t="s">
        <v>286</v>
      </c>
    </row>
    <row r="35" spans="1:21" ht="6" customHeight="1">
      <c r="C35" s="104"/>
    </row>
    <row r="36" spans="1:21">
      <c r="A36" s="39"/>
      <c r="B36" s="267" t="s">
        <v>291</v>
      </c>
      <c r="H36" s="254" t="s">
        <v>293</v>
      </c>
      <c r="L36" s="40" t="s">
        <v>292</v>
      </c>
    </row>
    <row r="37" spans="1:21">
      <c r="C37" s="258">
        <f>D37*$B$19</f>
        <v>567.93103448275849</v>
      </c>
      <c r="D37" s="262">
        <f>[1]!srEold($B$18,K37,I37)</f>
        <v>14.198275862068963</v>
      </c>
      <c r="E37" s="263">
        <f>[1]!srE2LETt($B$18,D37,0)</f>
        <v>7.884695206896553</v>
      </c>
      <c r="F37" s="263">
        <f>[1]!srE2Rng($B$18,D37)</f>
        <v>213.69999999999993</v>
      </c>
      <c r="G37" s="260"/>
      <c r="H37" s="264">
        <v>60</v>
      </c>
      <c r="I37" s="265">
        <f>$L$9/COS(RADIANS(H37))</f>
        <v>199.99999999999994</v>
      </c>
      <c r="J37" s="261">
        <f>K37*$B$19</f>
        <v>45</v>
      </c>
      <c r="K37" s="259">
        <f>[1]!srLETt2Eh($B$18,L37,0)</f>
        <v>1.125</v>
      </c>
      <c r="L37" s="266">
        <f>[1]!srMaxLETt($B$18,0)</f>
        <v>18.666679999999999</v>
      </c>
      <c r="M37" s="263">
        <f>[1]!srE2Rng($B$18,K37)</f>
        <v>13.7</v>
      </c>
      <c r="N37" s="263">
        <f>L37/COS(RADIANS(H37))</f>
        <v>37.333359999999992</v>
      </c>
    </row>
    <row r="39" spans="1:21">
      <c r="A39" s="39"/>
      <c r="B39" s="273" t="s">
        <v>290</v>
      </c>
      <c r="C39" s="109"/>
      <c r="D39" s="109"/>
      <c r="E39" s="109"/>
      <c r="F39" s="109"/>
      <c r="G39" s="109"/>
      <c r="H39" s="109"/>
      <c r="I39" s="109"/>
    </row>
    <row r="40" spans="1:21">
      <c r="C40" s="40" t="s">
        <v>272</v>
      </c>
      <c r="J40" s="277" t="s">
        <v>273</v>
      </c>
      <c r="K40" s="109"/>
      <c r="L40" s="109"/>
    </row>
    <row r="41" spans="1:21">
      <c r="C41" s="227">
        <f>D41*$B$19</f>
        <v>522.37600922722027</v>
      </c>
      <c r="D41" s="228">
        <f>[1]!srEold($B$18,K41,I41)</f>
        <v>13.059400230680508</v>
      </c>
      <c r="E41" s="229">
        <f>[1]!srE2LETt($B$18,D41,0)</f>
        <v>8.313740861591695</v>
      </c>
      <c r="F41" s="229">
        <f>[1]!srE2Rng($B$18,D41)</f>
        <v>189.45</v>
      </c>
      <c r="G41" s="237"/>
      <c r="H41" s="231">
        <f>H$16</f>
        <v>0</v>
      </c>
      <c r="I41" s="232">
        <f>$L$9/COS(RADIANS(H41))</f>
        <v>100</v>
      </c>
      <c r="J41" s="274">
        <v>300</v>
      </c>
      <c r="K41" s="228">
        <f>J41/$B$19</f>
        <v>7.5</v>
      </c>
      <c r="L41" s="225">
        <f>[1]!srE2LETt($B$18,K41,0)</f>
        <v>11.387121</v>
      </c>
      <c r="M41" s="229">
        <f>[1]!srE2Rng($B$18,K41)</f>
        <v>89.45</v>
      </c>
      <c r="N41" s="230">
        <f>L41/COS(RADIANS(H41))</f>
        <v>11.387121</v>
      </c>
    </row>
    <row r="42" spans="1:21">
      <c r="C42" s="238">
        <f t="shared" ref="C42:C43" si="6">D42*$B$19</f>
        <v>599.0950203943911</v>
      </c>
      <c r="D42" s="243">
        <f>[1]!srEold($B$18,K42,I42)</f>
        <v>14.977375509859778</v>
      </c>
      <c r="E42" s="245">
        <f>[1]!srE2LETt($B$18,D42,0)</f>
        <v>7.6127520330344636</v>
      </c>
      <c r="F42" s="245">
        <f>[1]!srE2Rng($B$18,D42)</f>
        <v>230.8713562373095</v>
      </c>
      <c r="G42" s="7"/>
      <c r="H42" s="233">
        <f>H$17</f>
        <v>45</v>
      </c>
      <c r="I42" s="234">
        <f t="shared" ref="I42:I43" si="7">$L$9/COS(RADIANS(H42))</f>
        <v>141.42135623730948</v>
      </c>
      <c r="J42" s="275">
        <f>J41</f>
        <v>300</v>
      </c>
      <c r="K42" s="243">
        <f t="shared" ref="K42:K43" si="8">J42/$B$19</f>
        <v>7.5</v>
      </c>
      <c r="L42" s="226">
        <f>[1]!srE2LETt($B$18,K42,0)</f>
        <v>11.387121</v>
      </c>
      <c r="M42" s="247">
        <f>[1]!srE2Rng($B$18,K42)</f>
        <v>89.45</v>
      </c>
      <c r="N42" s="239">
        <f t="shared" ref="N42:N43" si="9">L42/COS(RADIANS(H42))</f>
        <v>16.10382095458348</v>
      </c>
    </row>
    <row r="43" spans="1:21">
      <c r="C43" s="240">
        <f t="shared" si="6"/>
        <v>697.36928104575156</v>
      </c>
      <c r="D43" s="244">
        <f>[1]!srEold($B$18,K43,I43)</f>
        <v>17.434232026143789</v>
      </c>
      <c r="E43" s="246">
        <f>[1]!srE2LETt($B$18,D43,0)</f>
        <v>6.8866819052287589</v>
      </c>
      <c r="F43" s="246">
        <f>[1]!srE2Rng($B$18,D43)</f>
        <v>289.44999999999993</v>
      </c>
      <c r="G43" s="174"/>
      <c r="H43" s="235">
        <f>H$18</f>
        <v>60</v>
      </c>
      <c r="I43" s="236">
        <f t="shared" si="7"/>
        <v>199.99999999999994</v>
      </c>
      <c r="J43" s="276">
        <f>J41</f>
        <v>300</v>
      </c>
      <c r="K43" s="244">
        <f t="shared" si="8"/>
        <v>7.5</v>
      </c>
      <c r="L43" s="241">
        <f>[1]!srE2LETt($B$18,K43,0)</f>
        <v>11.387121</v>
      </c>
      <c r="M43" s="248">
        <f>[1]!srE2Rng($B$18,K43)</f>
        <v>89.45</v>
      </c>
      <c r="N43" s="242">
        <f t="shared" si="9"/>
        <v>22.774241999999997</v>
      </c>
    </row>
    <row r="45" spans="1:21" ht="14.25">
      <c r="A45" s="39"/>
      <c r="B45" s="268" t="s">
        <v>287</v>
      </c>
      <c r="N45" s="97" t="s">
        <v>295</v>
      </c>
    </row>
    <row r="46" spans="1:21">
      <c r="A46" s="39"/>
      <c r="B46" s="39"/>
      <c r="C46" s="39" t="str">
        <f>"E1 [A.MeV] = srLETt2Eh( "&amp;$B$18&amp;" , LET①, 0 )"</f>
        <v>E1 [A.MeV] = srLETt2Eh( srim40Ar_Si , LET①, 0 )</v>
      </c>
      <c r="D46" s="39"/>
      <c r="J46" s="40" t="s">
        <v>298</v>
      </c>
      <c r="N46" s="154" t="s">
        <v>294</v>
      </c>
    </row>
    <row r="47" spans="1:21">
      <c r="A47" s="39"/>
      <c r="B47" s="112"/>
      <c r="C47" s="39" t="str">
        <f>"E0 [A.MeV] = srEold( "&amp;$B$18&amp;" , E1, D1 )"</f>
        <v>E0 [A.MeV] = srEold( srim40Ar_Si , E1, D1 )</v>
      </c>
      <c r="D47" s="106"/>
      <c r="J47" s="40" t="s">
        <v>296</v>
      </c>
      <c r="N47" s="154" t="s">
        <v>297</v>
      </c>
    </row>
    <row r="48" spans="1:21">
      <c r="C48" s="39" t="str">
        <f>"LET [MeV/(mg/cm2)] = srE2LETt( "&amp;$B$18&amp;" , E, 0 )"</f>
        <v>LET [MeV/(mg/cm2)] = srE2LETt( srim40Ar_Si , E, 0 )</v>
      </c>
      <c r="J48" s="40" t="s">
        <v>300</v>
      </c>
      <c r="N48" s="154" t="s">
        <v>299</v>
      </c>
    </row>
    <row r="49" spans="1:14">
      <c r="C49" s="39" t="str">
        <f>"R(Si) [μm] = srE2Rng( "&amp;$B$18&amp;" , E )"</f>
        <v>R(Si) [μm] = srE2Rng( srim40Ar_Si , E )</v>
      </c>
      <c r="J49" s="40" t="s">
        <v>302</v>
      </c>
      <c r="N49" s="154" t="s">
        <v>301</v>
      </c>
    </row>
    <row r="50" spans="1:14">
      <c r="C50" s="39" t="str">
        <f>"max LET [MeV/(mg/cm2)] = srMaxLETt( "&amp;$B$18&amp;" , 0 )"</f>
        <v>max LET [MeV/(mg/cm2)] = srMaxLETt( srim40Ar_Si , 0 )</v>
      </c>
      <c r="J50" s="40" t="s">
        <v>303</v>
      </c>
      <c r="N50" s="154" t="s">
        <v>299</v>
      </c>
    </row>
    <row r="51" spans="1:14">
      <c r="N51" s="154"/>
    </row>
    <row r="52" spans="1:14">
      <c r="A52" s="39"/>
    </row>
    <row r="53" spans="1:14">
      <c r="A53" s="39"/>
      <c r="B53" s="39"/>
      <c r="C53" s="39"/>
      <c r="D53" s="39"/>
    </row>
    <row r="54" spans="1:14">
      <c r="A54" s="39"/>
      <c r="B54" s="112"/>
      <c r="C54" s="106"/>
      <c r="D54" s="106"/>
    </row>
    <row r="58" spans="1:14">
      <c r="B58" s="110"/>
      <c r="C58" s="110"/>
      <c r="D58" s="110"/>
    </row>
  </sheetData>
  <phoneticPr fontId="18"/>
  <pageMargins left="0.7" right="0.7" top="0.75" bottom="0.75" header="0.3" footer="0.3"/>
  <pageSetup paperSize="9" scale="81" fitToHeight="0" orientation="portrait" r:id="rId1"/>
  <headerFooter>
    <oddHeader>&amp;C&amp;F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50</vt:i4>
      </vt:variant>
    </vt:vector>
  </HeadingPairs>
  <TitlesOfParts>
    <vt:vector size="53" baseType="lpstr">
      <vt:lpstr>params</vt:lpstr>
      <vt:lpstr>1_ExpR推定</vt:lpstr>
      <vt:lpstr>2_ビーム希望表</vt:lpstr>
      <vt:lpstr>AirP</vt:lpstr>
      <vt:lpstr>AirP_Ar</vt:lpstr>
      <vt:lpstr>AirP_Kr</vt:lpstr>
      <vt:lpstr>AirT</vt:lpstr>
      <vt:lpstr>AirT_Ar</vt:lpstr>
      <vt:lpstr>AirT_Kr</vt:lpstr>
      <vt:lpstr>BeamE</vt:lpstr>
      <vt:lpstr>BeamE_Ar</vt:lpstr>
      <vt:lpstr>BeamE_Kr</vt:lpstr>
      <vt:lpstr>BeamWS</vt:lpstr>
      <vt:lpstr>ExpR</vt:lpstr>
      <vt:lpstr>ExpR_Ar</vt:lpstr>
      <vt:lpstr>ExpR_Kr</vt:lpstr>
      <vt:lpstr>ICs_Mylar</vt:lpstr>
      <vt:lpstr>ICs_Th</vt:lpstr>
      <vt:lpstr>ssdA_Al</vt:lpstr>
      <vt:lpstr>ssdA1_d1</vt:lpstr>
      <vt:lpstr>ssdA1_d2</vt:lpstr>
      <vt:lpstr>ssdA1_Ea</vt:lpstr>
      <vt:lpstr>ssdA1_Eb</vt:lpstr>
      <vt:lpstr>ssdA1_Th</vt:lpstr>
      <vt:lpstr>ssdA2_d1</vt:lpstr>
      <vt:lpstr>ssdA2_d2</vt:lpstr>
      <vt:lpstr>ssdA2_Ea</vt:lpstr>
      <vt:lpstr>ssdA2_Eb</vt:lpstr>
      <vt:lpstr>ssdA2_Th</vt:lpstr>
      <vt:lpstr>ssdB_Al</vt:lpstr>
      <vt:lpstr>ssdB1_d1</vt:lpstr>
      <vt:lpstr>ssdB1_d2</vt:lpstr>
      <vt:lpstr>ssdB1_Ea</vt:lpstr>
      <vt:lpstr>ssdB1_Eb</vt:lpstr>
      <vt:lpstr>ssdB1_Th</vt:lpstr>
      <vt:lpstr>ssdB2_d1</vt:lpstr>
      <vt:lpstr>ssdB2_d2</vt:lpstr>
      <vt:lpstr>ssdB2_Ea</vt:lpstr>
      <vt:lpstr>ssdB2_Eb</vt:lpstr>
      <vt:lpstr>ssdB2_Th</vt:lpstr>
      <vt:lpstr>ThAir1</vt:lpstr>
      <vt:lpstr>ThAir2</vt:lpstr>
      <vt:lpstr>ThAu</vt:lpstr>
      <vt:lpstr>ThAu_Ar</vt:lpstr>
      <vt:lpstr>ThAu_Kr</vt:lpstr>
      <vt:lpstr>ThEDtbl</vt:lpstr>
      <vt:lpstr>ThICal</vt:lpstr>
      <vt:lpstr>ThICmylar</vt:lpstr>
      <vt:lpstr>ThKapton</vt:lpstr>
      <vt:lpstr>ThPL</vt:lpstr>
      <vt:lpstr>ThPLmyAl</vt:lpstr>
      <vt:lpstr>ThPLmylar</vt:lpstr>
      <vt:lpstr>WBtitle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ayoshida</dc:creator>
  <cp:lastModifiedBy>ayoshida</cp:lastModifiedBy>
  <cp:lastPrinted>2020-10-12T19:35:37Z</cp:lastPrinted>
  <dcterms:created xsi:type="dcterms:W3CDTF">2008-11-07T05:47:18Z</dcterms:created>
  <dcterms:modified xsi:type="dcterms:W3CDTF">2020-12-17T04:58:42Z</dcterms:modified>
</cp:coreProperties>
</file>