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yoshida\Documents\__Today__\_AyLIB\_SRIMfit-AyLIB\181010-SRf312 Eng, Mac, VBA7\Tips\SRIMfit\_programs\example\2 E5A用\"/>
    </mc:Choice>
  </mc:AlternateContent>
  <xr:revisionPtr revIDLastSave="0" documentId="13_ncr:1_{D494D24F-2A2D-4DB4-9E94-17F0E2F40E02}" xr6:coauthVersionLast="37" xr6:coauthVersionMax="37" xr10:uidLastSave="{00000000-0000-0000-0000-000000000000}"/>
  <bookViews>
    <workbookView xWindow="-20" yWindow="2760" windowWidth="19860" windowHeight="8430" activeTab="2" xr2:uid="{00000000-000D-0000-FFFF-FFFF00000000}"/>
  </bookViews>
  <sheets>
    <sheet name="params" sheetId="147" r:id="rId1"/>
    <sheet name="IC計算" sheetId="189" r:id="rId2"/>
    <sheet name="IC解析" sheetId="203" r:id="rId3"/>
  </sheets>
  <externalReferences>
    <externalReference r:id="rId4"/>
    <externalReference r:id="rId5"/>
  </externalReferences>
  <definedNames>
    <definedName name="AirP">params!$D$33</definedName>
    <definedName name="AirT">params!$D$32</definedName>
    <definedName name="BeamE">params!$D$62</definedName>
    <definedName name="BeamWS">params!$D$63</definedName>
    <definedName name="ExpR">params!$D$67</definedName>
    <definedName name="ICs_Mylar">params!$D$36</definedName>
    <definedName name="ICs_Th">params!$D$37</definedName>
    <definedName name="solver_adj" localSheetId="2" hidden="1">IC解析!#REF!</definedName>
    <definedName name="solver_adj" localSheetId="1" hidden="1">IC計算!#REF!</definedName>
    <definedName name="solver_adj" localSheetId="0" hidden="1">params!$D$9:$D$16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1" hidden="1">1</definedName>
    <definedName name="solver_drv" localSheetId="0" hidden="1">2</definedName>
    <definedName name="solver_eng" localSheetId="2" hidden="1">1</definedName>
    <definedName name="solver_eng" localSheetId="1" hidden="1">1</definedName>
    <definedName name="solver_eng" localSheetId="0" hidden="1">1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itr" localSheetId="2" hidden="1">2147483647</definedName>
    <definedName name="solver_itr" localSheetId="1" hidden="1">2147483647</definedName>
    <definedName name="solver_itr" localSheetId="0" hidden="1">2147483647</definedName>
    <definedName name="solver_lhs1" localSheetId="2" hidden="1">IC解析!#REF!</definedName>
    <definedName name="solver_lhs1" localSheetId="1" hidden="1">IC計算!#REF!</definedName>
    <definedName name="solver_lhs1" localSheetId="0" hidden="1">params!$D$9:$D$16</definedName>
    <definedName name="solver_lhs2" localSheetId="2" hidden="1">IC解析!#REF!</definedName>
    <definedName name="solver_lhs2" localSheetId="1" hidden="1">IC計算!#REF!</definedName>
    <definedName name="solver_lhs2" localSheetId="0" hidden="1">params!$D$9:$D$16</definedName>
    <definedName name="solver_mip" localSheetId="2" hidden="1">2147483647</definedName>
    <definedName name="solver_mip" localSheetId="1" hidden="1">2147483647</definedName>
    <definedName name="solver_mip" localSheetId="0" hidden="1">2147483647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rt" localSheetId="2" hidden="1">0.075</definedName>
    <definedName name="solver_mrt" localSheetId="1" hidden="1">0.075</definedName>
    <definedName name="solver_mrt" localSheetId="0" hidden="1">0.075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neg" localSheetId="2" hidden="1">1</definedName>
    <definedName name="solver_neg" localSheetId="1" hidden="1">1</definedName>
    <definedName name="solver_neg" localSheetId="0" hidden="1">1</definedName>
    <definedName name="solver_nod" localSheetId="2" hidden="1">2147483647</definedName>
    <definedName name="solver_nod" localSheetId="1" hidden="1">2147483647</definedName>
    <definedName name="solver_nod" localSheetId="0" hidden="1">2147483647</definedName>
    <definedName name="solver_num" localSheetId="2" hidden="1">2</definedName>
    <definedName name="solver_num" localSheetId="1" hidden="1">2</definedName>
    <definedName name="solver_num" localSheetId="0" hidden="1">2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opt" localSheetId="2" hidden="1">IC解析!$AW$7</definedName>
    <definedName name="solver_opt" localSheetId="1" hidden="1">IC計算!#REF!</definedName>
    <definedName name="solver_opt" localSheetId="0" hidden="1">params!#REF!</definedName>
    <definedName name="solver_pre" localSheetId="2" hidden="1">0.000001</definedName>
    <definedName name="solver_pre" localSheetId="1" hidden="1">0.000001</definedName>
    <definedName name="solver_pre" localSheetId="0" hidden="1">0.000001</definedName>
    <definedName name="solver_rbv" localSheetId="2" hidden="1">1</definedName>
    <definedName name="solver_rbv" localSheetId="1" hidden="1">1</definedName>
    <definedName name="solver_rbv" localSheetId="0" hidden="1">2</definedName>
    <definedName name="solver_rel1" localSheetId="2" hidden="1">1</definedName>
    <definedName name="solver_rel1" localSheetId="1" hidden="1">1</definedName>
    <definedName name="solver_rel1" localSheetId="0" hidden="1">1</definedName>
    <definedName name="solver_rel2" localSheetId="2" hidden="1">3</definedName>
    <definedName name="solver_rel2" localSheetId="1" hidden="1">3</definedName>
    <definedName name="solver_rel2" localSheetId="0" hidden="1">3</definedName>
    <definedName name="solver_rhs1" localSheetId="2" hidden="1">740</definedName>
    <definedName name="solver_rhs1" localSheetId="1" hidden="1">740</definedName>
    <definedName name="solver_rhs1" localSheetId="0" hidden="1">params!$B$9:$B$16</definedName>
    <definedName name="solver_rhs2" localSheetId="2" hidden="1">690</definedName>
    <definedName name="solver_rhs2" localSheetId="1" hidden="1">690</definedName>
    <definedName name="solver_rhs2" localSheetId="0" hidden="1">params!#REF!</definedName>
    <definedName name="solver_rlx" localSheetId="2" hidden="1">2</definedName>
    <definedName name="solver_rlx" localSheetId="1" hidden="1">2</definedName>
    <definedName name="solver_rlx" localSheetId="0" hidden="1">2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scl" localSheetId="2" hidden="1">1</definedName>
    <definedName name="solver_scl" localSheetId="1" hidden="1">1</definedName>
    <definedName name="solver_scl" localSheetId="0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tim" localSheetId="2" hidden="1">2147483647</definedName>
    <definedName name="solver_tim" localSheetId="1" hidden="1">2147483647</definedName>
    <definedName name="solver_tim" localSheetId="0" hidden="1">2147483647</definedName>
    <definedName name="solver_tol" localSheetId="2" hidden="1">0.01</definedName>
    <definedName name="solver_tol" localSheetId="1" hidden="1">0.01</definedName>
    <definedName name="solver_tol" localSheetId="0" hidden="1">0.01</definedName>
    <definedName name="solver_typ" localSheetId="2" hidden="1">2</definedName>
    <definedName name="solver_typ" localSheetId="1" hidden="1">2</definedName>
    <definedName name="solver_typ" localSheetId="0" hidden="1">2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er" localSheetId="2" hidden="1">3</definedName>
    <definedName name="solver_ver" localSheetId="1" hidden="1">3</definedName>
    <definedName name="solver_ver" localSheetId="0" hidden="1">3</definedName>
    <definedName name="ssdA_Al">params!$D$41</definedName>
    <definedName name="ssdA1_d1">params!$D$42</definedName>
    <definedName name="ssdA1_d2">params!$D$44</definedName>
    <definedName name="ssdA1_Ea">params!$D$71</definedName>
    <definedName name="ssdA1_Eb">params!$D$72</definedName>
    <definedName name="ssdA1_Th">params!$D$43</definedName>
    <definedName name="ssdA2_d1">params!$D$46</definedName>
    <definedName name="ssdA2_d2">params!$D$48</definedName>
    <definedName name="ssdA2_Ea">params!$D$74</definedName>
    <definedName name="ssdA2_Eb">params!$D$75</definedName>
    <definedName name="ssdA2_Th">params!$D$47</definedName>
    <definedName name="ssdB_Al">params!$D$52</definedName>
    <definedName name="ssdB1_d1">params!$D$53</definedName>
    <definedName name="ssdB1_d2">params!$D$55</definedName>
    <definedName name="ssdB1_Ea">params!$D$77</definedName>
    <definedName name="ssdB1_Eb">params!$D$78</definedName>
    <definedName name="ssdB1_Th">params!$D$54</definedName>
    <definedName name="ssdB2_d1">params!$D$57</definedName>
    <definedName name="ssdB2_d2">params!$D$59</definedName>
    <definedName name="ssdB2_Ea">params!$D$80</definedName>
    <definedName name="ssdB2_Eb">params!$D$81</definedName>
    <definedName name="ssdB2_Th">params!$D$58</definedName>
    <definedName name="ThAir1">params!$D$30</definedName>
    <definedName name="ThAir2">params!$D$31</definedName>
    <definedName name="ThAu">params!$D$24</definedName>
    <definedName name="ThEDtbl">params!$D$9:$D$20</definedName>
    <definedName name="ThICmylar">params!$D$26</definedName>
    <definedName name="ThKapton">params!$D$25</definedName>
    <definedName name="ThPL">params!$D$28</definedName>
    <definedName name="ThPLmylar">params!$D$27</definedName>
    <definedName name="WBtitle">params!$D$2</definedName>
    <definedName name="Z_3AC4C5A4_CC01_4AA2_8975_95BDDCF33CBA_.wvu.Cols" localSheetId="2" hidden="1">IC解析!#REF!,IC解析!#REF!,IC解析!#REF!,IC解析!#REF!</definedName>
    <definedName name="Z_3AC4C5A4_CC01_4AA2_8975_95BDDCF33CBA_.wvu.Cols" localSheetId="1" hidden="1">IC計算!#REF!,IC計算!#REF!,IC計算!#REF!,IC計算!#REF!</definedName>
    <definedName name="Z_3AC4C5A4_CC01_4AA2_8975_95BDDCF33CBA_.wvu.Cols" localSheetId="0" hidden="1">params!#REF!,params!#REF!,params!#REF!,params!#REF!</definedName>
    <definedName name="Z_8A5D6D5C_C043_4E6B_AB9F_8AB531120421_.wvu.Cols" localSheetId="2" hidden="1">IC解析!#REF!,IC解析!#REF!,IC解析!#REF!,IC解析!#REF!</definedName>
    <definedName name="Z_8A5D6D5C_C043_4E6B_AB9F_8AB531120421_.wvu.Cols" localSheetId="1" hidden="1">IC計算!#REF!,IC計算!#REF!,IC計算!#REF!,IC計算!#REF!</definedName>
    <definedName name="Z_8A5D6D5C_C043_4E6B_AB9F_8AB531120421_.wvu.Cols" localSheetId="0" hidden="1">params!#REF!,params!#REF!,params!#REF!,params!#REF!</definedName>
  </definedNames>
  <calcPr calcId="162913" iterate="1" iterateCount="1000"/>
  <customWorkbookViews>
    <customWorkbookView name="view1" guid="{8A5D6D5C-C043-4E6B-AB9F-8AB531120421}" xWindow="9" yWindow="76" windowWidth="1821" windowHeight="634" activeSheetId="80"/>
    <customWorkbookView name="view2" guid="{3AC4C5A4-CC01-4AA2-8975-95BDDCF33CBA}" xWindow="9" yWindow="76" windowWidth="1821" windowHeight="634" activeSheetId="80"/>
  </customWorkbookViews>
</workbook>
</file>

<file path=xl/calcChain.xml><?xml version="1.0" encoding="utf-8"?>
<calcChain xmlns="http://schemas.openxmlformats.org/spreadsheetml/2006/main">
  <c r="AT52" i="203" l="1"/>
  <c r="AG52" i="203"/>
  <c r="AF52" i="203"/>
  <c r="AT51" i="203"/>
  <c r="AG51" i="203"/>
  <c r="AF51" i="203"/>
  <c r="AT50" i="203"/>
  <c r="AG50" i="203"/>
  <c r="AF50" i="203"/>
  <c r="AT49" i="203"/>
  <c r="AG49" i="203"/>
  <c r="AF49" i="203"/>
  <c r="AT48" i="203"/>
  <c r="AG48" i="203"/>
  <c r="AF48" i="203"/>
  <c r="AT47" i="203"/>
  <c r="AG47" i="203"/>
  <c r="AF47" i="203"/>
  <c r="AT46" i="203"/>
  <c r="AG46" i="203"/>
  <c r="AF46" i="203"/>
  <c r="U52" i="203"/>
  <c r="T52" i="203"/>
  <c r="S52" i="203"/>
  <c r="R52" i="203"/>
  <c r="Q52" i="203"/>
  <c r="P52" i="203"/>
  <c r="O52" i="203"/>
  <c r="N52" i="203"/>
  <c r="M52" i="203"/>
  <c r="L52" i="203"/>
  <c r="K52" i="203"/>
  <c r="J52" i="203"/>
  <c r="U51" i="203"/>
  <c r="T51" i="203"/>
  <c r="S51" i="203"/>
  <c r="R51" i="203"/>
  <c r="Q51" i="203"/>
  <c r="P51" i="203"/>
  <c r="O51" i="203"/>
  <c r="N51" i="203"/>
  <c r="M51" i="203"/>
  <c r="L51" i="203"/>
  <c r="K51" i="203"/>
  <c r="J51" i="203"/>
  <c r="U50" i="203"/>
  <c r="T50" i="203"/>
  <c r="S50" i="203"/>
  <c r="R50" i="203"/>
  <c r="Q50" i="203"/>
  <c r="P50" i="203"/>
  <c r="O50" i="203"/>
  <c r="N50" i="203"/>
  <c r="M50" i="203"/>
  <c r="L50" i="203"/>
  <c r="K50" i="203"/>
  <c r="J50" i="203"/>
  <c r="U49" i="203"/>
  <c r="T49" i="203"/>
  <c r="S49" i="203"/>
  <c r="R49" i="203"/>
  <c r="Q49" i="203"/>
  <c r="P49" i="203"/>
  <c r="O49" i="203"/>
  <c r="N49" i="203"/>
  <c r="M49" i="203"/>
  <c r="L49" i="203"/>
  <c r="K49" i="203"/>
  <c r="J49" i="203"/>
  <c r="U48" i="203"/>
  <c r="T48" i="203"/>
  <c r="S48" i="203"/>
  <c r="R48" i="203"/>
  <c r="Q48" i="203"/>
  <c r="P48" i="203"/>
  <c r="O48" i="203"/>
  <c r="N48" i="203"/>
  <c r="M48" i="203"/>
  <c r="L48" i="203"/>
  <c r="K48" i="203"/>
  <c r="J48" i="203"/>
  <c r="U47" i="203"/>
  <c r="T47" i="203"/>
  <c r="S47" i="203"/>
  <c r="R47" i="203"/>
  <c r="Q47" i="203"/>
  <c r="P47" i="203"/>
  <c r="O47" i="203"/>
  <c r="N47" i="203"/>
  <c r="M47" i="203"/>
  <c r="L47" i="203"/>
  <c r="K47" i="203"/>
  <c r="J47" i="203"/>
  <c r="U46" i="203"/>
  <c r="T46" i="203"/>
  <c r="S46" i="203"/>
  <c r="R46" i="203"/>
  <c r="Q46" i="203"/>
  <c r="P46" i="203"/>
  <c r="O46" i="203"/>
  <c r="N46" i="203"/>
  <c r="M46" i="203"/>
  <c r="L46" i="203"/>
  <c r="K46" i="203"/>
  <c r="J46" i="203"/>
  <c r="BF93" i="203"/>
  <c r="BE93" i="203"/>
  <c r="BD93" i="203"/>
  <c r="BC93" i="203"/>
  <c r="BB93" i="203"/>
  <c r="BE92" i="203"/>
  <c r="BD92" i="203"/>
  <c r="BC92" i="203"/>
  <c r="BB92" i="203"/>
  <c r="BF91" i="203"/>
  <c r="BC91" i="203"/>
  <c r="BB91" i="203"/>
  <c r="BE90" i="203"/>
  <c r="BD90" i="203"/>
  <c r="BC90" i="203"/>
  <c r="BB90" i="203"/>
  <c r="BE89" i="203"/>
  <c r="BD89" i="203"/>
  <c r="BC89" i="203"/>
  <c r="BB89" i="203"/>
  <c r="BF88" i="203"/>
  <c r="BE88" i="203"/>
  <c r="BD88" i="203"/>
  <c r="BC88" i="203"/>
  <c r="BB88" i="203"/>
  <c r="BC87" i="203"/>
  <c r="BB87" i="203"/>
  <c r="BF86" i="203"/>
  <c r="BE86" i="203"/>
  <c r="BD86" i="203"/>
  <c r="BC86" i="203"/>
  <c r="BB86" i="203"/>
  <c r="BC85" i="203"/>
  <c r="BB85" i="203"/>
  <c r="BF84" i="203"/>
  <c r="BE84" i="203"/>
  <c r="BD84" i="203"/>
  <c r="BC84" i="203"/>
  <c r="BB84" i="203"/>
  <c r="BF83" i="203"/>
  <c r="BC83" i="203"/>
  <c r="BB83" i="203"/>
  <c r="AZ83" i="203"/>
  <c r="AZ84" i="203" s="1"/>
  <c r="AZ85" i="203" s="1"/>
  <c r="AZ86" i="203" s="1"/>
  <c r="AZ87" i="203" s="1"/>
  <c r="AZ88" i="203" s="1"/>
  <c r="AZ89" i="203" s="1"/>
  <c r="AZ90" i="203" s="1"/>
  <c r="AZ91" i="203" s="1"/>
  <c r="AZ92" i="203" s="1"/>
  <c r="AZ93" i="203" s="1"/>
  <c r="BF82" i="203"/>
  <c r="BE82" i="203"/>
  <c r="BD82" i="203"/>
  <c r="AZ81" i="203"/>
  <c r="BA79" i="203"/>
  <c r="C78" i="203"/>
  <c r="C77" i="203"/>
  <c r="BA75" i="203"/>
  <c r="AZ74" i="203"/>
  <c r="B74" i="203"/>
  <c r="U45" i="203"/>
  <c r="T45" i="203"/>
  <c r="S45" i="203"/>
  <c r="R45" i="203"/>
  <c r="Q45" i="203"/>
  <c r="P45" i="203"/>
  <c r="O45" i="203"/>
  <c r="N45" i="203"/>
  <c r="M45" i="203"/>
  <c r="L45" i="203"/>
  <c r="K45" i="203"/>
  <c r="J45" i="203"/>
  <c r="U44" i="203"/>
  <c r="T44" i="203"/>
  <c r="S44" i="203"/>
  <c r="R44" i="203"/>
  <c r="Q44" i="203"/>
  <c r="P44" i="203"/>
  <c r="O44" i="203"/>
  <c r="N44" i="203"/>
  <c r="M44" i="203"/>
  <c r="L44" i="203"/>
  <c r="K44" i="203"/>
  <c r="J44" i="203"/>
  <c r="U43" i="203"/>
  <c r="T43" i="203"/>
  <c r="S43" i="203"/>
  <c r="R43" i="203"/>
  <c r="Q43" i="203"/>
  <c r="P43" i="203"/>
  <c r="O43" i="203"/>
  <c r="N43" i="203"/>
  <c r="M43" i="203"/>
  <c r="L43" i="203"/>
  <c r="K43" i="203"/>
  <c r="J43" i="203"/>
  <c r="U42" i="203"/>
  <c r="T42" i="203"/>
  <c r="S42" i="203"/>
  <c r="R42" i="203"/>
  <c r="Q42" i="203"/>
  <c r="P42" i="203"/>
  <c r="O42" i="203"/>
  <c r="N42" i="203"/>
  <c r="M42" i="203"/>
  <c r="L42" i="203"/>
  <c r="K42" i="203"/>
  <c r="J42" i="203"/>
  <c r="U41" i="203"/>
  <c r="T41" i="203"/>
  <c r="S41" i="203"/>
  <c r="R41" i="203"/>
  <c r="Q41" i="203"/>
  <c r="P41" i="203"/>
  <c r="O41" i="203"/>
  <c r="N41" i="203"/>
  <c r="M41" i="203"/>
  <c r="L41" i="203"/>
  <c r="K41" i="203"/>
  <c r="J41" i="203"/>
  <c r="U40" i="203"/>
  <c r="T40" i="203"/>
  <c r="S40" i="203"/>
  <c r="R40" i="203"/>
  <c r="Q40" i="203"/>
  <c r="P40" i="203"/>
  <c r="O40" i="203"/>
  <c r="N40" i="203"/>
  <c r="M40" i="203"/>
  <c r="L40" i="203"/>
  <c r="K40" i="203"/>
  <c r="J40" i="203"/>
  <c r="U39" i="203"/>
  <c r="T39" i="203"/>
  <c r="S39" i="203"/>
  <c r="R39" i="203"/>
  <c r="Q39" i="203"/>
  <c r="P39" i="203"/>
  <c r="O39" i="203"/>
  <c r="N39" i="203"/>
  <c r="M39" i="203"/>
  <c r="L39" i="203"/>
  <c r="K39" i="203"/>
  <c r="J39" i="203"/>
  <c r="U38" i="203"/>
  <c r="T38" i="203"/>
  <c r="S38" i="203"/>
  <c r="R38" i="203"/>
  <c r="Q38" i="203"/>
  <c r="P38" i="203"/>
  <c r="O38" i="203"/>
  <c r="N38" i="203"/>
  <c r="M38" i="203"/>
  <c r="L38" i="203"/>
  <c r="K38" i="203"/>
  <c r="J38" i="203"/>
  <c r="U37" i="203"/>
  <c r="T37" i="203"/>
  <c r="S37" i="203"/>
  <c r="R37" i="203"/>
  <c r="Q37" i="203"/>
  <c r="P37" i="203"/>
  <c r="O37" i="203"/>
  <c r="N37" i="203"/>
  <c r="M37" i="203"/>
  <c r="L37" i="203"/>
  <c r="K37" i="203"/>
  <c r="J37" i="203"/>
  <c r="U36" i="203"/>
  <c r="T36" i="203"/>
  <c r="S36" i="203"/>
  <c r="R36" i="203"/>
  <c r="Q36" i="203"/>
  <c r="P36" i="203"/>
  <c r="O36" i="203"/>
  <c r="N36" i="203"/>
  <c r="M36" i="203"/>
  <c r="L36" i="203"/>
  <c r="K36" i="203"/>
  <c r="J36" i="203"/>
  <c r="U35" i="203"/>
  <c r="T35" i="203"/>
  <c r="S35" i="203"/>
  <c r="R35" i="203"/>
  <c r="Q35" i="203"/>
  <c r="P35" i="203"/>
  <c r="O35" i="203"/>
  <c r="N35" i="203"/>
  <c r="M35" i="203"/>
  <c r="L35" i="203"/>
  <c r="K35" i="203"/>
  <c r="J35" i="203"/>
  <c r="U34" i="203"/>
  <c r="T34" i="203"/>
  <c r="S34" i="203"/>
  <c r="R34" i="203"/>
  <c r="Q34" i="203"/>
  <c r="P34" i="203"/>
  <c r="O34" i="203"/>
  <c r="N34" i="203"/>
  <c r="M34" i="203"/>
  <c r="L34" i="203"/>
  <c r="K34" i="203"/>
  <c r="J34" i="203"/>
  <c r="C34" i="203"/>
  <c r="U33" i="203"/>
  <c r="T33" i="203"/>
  <c r="S33" i="203"/>
  <c r="R33" i="203"/>
  <c r="Q33" i="203"/>
  <c r="P33" i="203"/>
  <c r="O33" i="203"/>
  <c r="N33" i="203"/>
  <c r="M33" i="203"/>
  <c r="L33" i="203"/>
  <c r="K33" i="203"/>
  <c r="J33" i="203"/>
  <c r="C33" i="203"/>
  <c r="U32" i="203"/>
  <c r="T32" i="203"/>
  <c r="S32" i="203"/>
  <c r="R32" i="203"/>
  <c r="Q32" i="203"/>
  <c r="P32" i="203"/>
  <c r="O32" i="203"/>
  <c r="N32" i="203"/>
  <c r="M32" i="203"/>
  <c r="L32" i="203"/>
  <c r="K32" i="203"/>
  <c r="J32" i="203"/>
  <c r="U31" i="203"/>
  <c r="T31" i="203"/>
  <c r="S31" i="203"/>
  <c r="R31" i="203"/>
  <c r="Q31" i="203"/>
  <c r="P31" i="203"/>
  <c r="O31" i="203"/>
  <c r="N31" i="203"/>
  <c r="M31" i="203"/>
  <c r="L31" i="203"/>
  <c r="K31" i="203"/>
  <c r="J31" i="203"/>
  <c r="U30" i="203"/>
  <c r="T30" i="203"/>
  <c r="S30" i="203"/>
  <c r="R30" i="203"/>
  <c r="Q30" i="203"/>
  <c r="P30" i="203"/>
  <c r="O30" i="203"/>
  <c r="N30" i="203"/>
  <c r="M30" i="203"/>
  <c r="L30" i="203"/>
  <c r="K30" i="203"/>
  <c r="J30" i="203"/>
  <c r="U29" i="203"/>
  <c r="T29" i="203"/>
  <c r="S29" i="203"/>
  <c r="R29" i="203"/>
  <c r="Q29" i="203"/>
  <c r="P29" i="203"/>
  <c r="O29" i="203"/>
  <c r="N29" i="203"/>
  <c r="M29" i="203"/>
  <c r="L29" i="203"/>
  <c r="K29" i="203"/>
  <c r="J29" i="203"/>
  <c r="C29" i="203"/>
  <c r="BD11" i="203" s="1"/>
  <c r="U28" i="203"/>
  <c r="T28" i="203"/>
  <c r="S28" i="203"/>
  <c r="R28" i="203"/>
  <c r="Q28" i="203"/>
  <c r="P28" i="203"/>
  <c r="O28" i="203"/>
  <c r="N28" i="203"/>
  <c r="M28" i="203"/>
  <c r="L28" i="203"/>
  <c r="K28" i="203"/>
  <c r="J28" i="203"/>
  <c r="U27" i="203"/>
  <c r="T27" i="203"/>
  <c r="S27" i="203"/>
  <c r="R27" i="203"/>
  <c r="Q27" i="203"/>
  <c r="P27" i="203"/>
  <c r="O27" i="203"/>
  <c r="N27" i="203"/>
  <c r="M27" i="203"/>
  <c r="L27" i="203"/>
  <c r="K27" i="203"/>
  <c r="J27" i="203"/>
  <c r="U26" i="203"/>
  <c r="T26" i="203"/>
  <c r="S26" i="203"/>
  <c r="R26" i="203"/>
  <c r="Q26" i="203"/>
  <c r="P26" i="203"/>
  <c r="O26" i="203"/>
  <c r="N26" i="203"/>
  <c r="M26" i="203"/>
  <c r="L26" i="203"/>
  <c r="K26" i="203"/>
  <c r="J26" i="203"/>
  <c r="U25" i="203"/>
  <c r="T25" i="203"/>
  <c r="S25" i="203"/>
  <c r="R25" i="203"/>
  <c r="Q25" i="203"/>
  <c r="P25" i="203"/>
  <c r="O25" i="203"/>
  <c r="N25" i="203"/>
  <c r="M25" i="203"/>
  <c r="L25" i="203"/>
  <c r="K25" i="203"/>
  <c r="J25" i="203"/>
  <c r="U24" i="203"/>
  <c r="T24" i="203"/>
  <c r="S24" i="203"/>
  <c r="R24" i="203"/>
  <c r="Q24" i="203"/>
  <c r="P24" i="203"/>
  <c r="O24" i="203"/>
  <c r="N24" i="203"/>
  <c r="M24" i="203"/>
  <c r="L24" i="203"/>
  <c r="K24" i="203"/>
  <c r="J24" i="203"/>
  <c r="U23" i="203"/>
  <c r="T23" i="203"/>
  <c r="S23" i="203"/>
  <c r="R23" i="203"/>
  <c r="Q23" i="203"/>
  <c r="P23" i="203"/>
  <c r="O23" i="203"/>
  <c r="N23" i="203"/>
  <c r="M23" i="203"/>
  <c r="L23" i="203"/>
  <c r="K23" i="203"/>
  <c r="J23" i="203"/>
  <c r="U22" i="203"/>
  <c r="T22" i="203"/>
  <c r="S22" i="203"/>
  <c r="R22" i="203"/>
  <c r="Q22" i="203"/>
  <c r="P22" i="203"/>
  <c r="O22" i="203"/>
  <c r="N22" i="203"/>
  <c r="M22" i="203"/>
  <c r="L22" i="203"/>
  <c r="K22" i="203"/>
  <c r="J22" i="203"/>
  <c r="U21" i="203"/>
  <c r="T21" i="203"/>
  <c r="S21" i="203"/>
  <c r="R21" i="203"/>
  <c r="Q21" i="203"/>
  <c r="P21" i="203"/>
  <c r="O21" i="203"/>
  <c r="N21" i="203"/>
  <c r="M21" i="203"/>
  <c r="L21" i="203"/>
  <c r="K21" i="203"/>
  <c r="J21" i="203"/>
  <c r="D21" i="203"/>
  <c r="U20" i="203"/>
  <c r="T20" i="203"/>
  <c r="S20" i="203"/>
  <c r="R20" i="203"/>
  <c r="Q20" i="203"/>
  <c r="P20" i="203"/>
  <c r="O20" i="203"/>
  <c r="N20" i="203"/>
  <c r="M20" i="203"/>
  <c r="L20" i="203"/>
  <c r="K20" i="203"/>
  <c r="J20" i="203"/>
  <c r="D20" i="203"/>
  <c r="U19" i="203"/>
  <c r="T19" i="203"/>
  <c r="S19" i="203"/>
  <c r="R19" i="203"/>
  <c r="Q19" i="203"/>
  <c r="P19" i="203"/>
  <c r="O19" i="203"/>
  <c r="N19" i="203"/>
  <c r="M19" i="203"/>
  <c r="L19" i="203"/>
  <c r="K19" i="203"/>
  <c r="J19" i="203"/>
  <c r="U18" i="203"/>
  <c r="T18" i="203"/>
  <c r="S18" i="203"/>
  <c r="R18" i="203"/>
  <c r="Q18" i="203"/>
  <c r="P18" i="203"/>
  <c r="O18" i="203"/>
  <c r="N18" i="203"/>
  <c r="M18" i="203"/>
  <c r="L18" i="203"/>
  <c r="K18" i="203"/>
  <c r="J18" i="203"/>
  <c r="U17" i="203"/>
  <c r="T17" i="203"/>
  <c r="S17" i="203"/>
  <c r="R17" i="203"/>
  <c r="Q17" i="203"/>
  <c r="P17" i="203"/>
  <c r="O17" i="203"/>
  <c r="N17" i="203"/>
  <c r="M17" i="203"/>
  <c r="L17" i="203"/>
  <c r="K17" i="203"/>
  <c r="J17" i="203"/>
  <c r="U16" i="203"/>
  <c r="T16" i="203"/>
  <c r="S16" i="203"/>
  <c r="R16" i="203"/>
  <c r="Q16" i="203"/>
  <c r="P16" i="203"/>
  <c r="O16" i="203"/>
  <c r="N16" i="203"/>
  <c r="M16" i="203"/>
  <c r="L16" i="203"/>
  <c r="K16" i="203"/>
  <c r="J16" i="203"/>
  <c r="U15" i="203"/>
  <c r="T15" i="203"/>
  <c r="S15" i="203"/>
  <c r="R15" i="203"/>
  <c r="Q15" i="203"/>
  <c r="P15" i="203"/>
  <c r="O15" i="203"/>
  <c r="N15" i="203"/>
  <c r="M15" i="203"/>
  <c r="L15" i="203"/>
  <c r="K15" i="203"/>
  <c r="J15" i="203"/>
  <c r="AD9" i="203"/>
  <c r="AC9" i="203"/>
  <c r="Z9" i="203"/>
  <c r="Y9" i="203"/>
  <c r="AG26" i="203" s="1"/>
  <c r="AD7" i="203"/>
  <c r="AC7" i="203"/>
  <c r="Z7" i="203"/>
  <c r="Y7" i="203"/>
  <c r="C6" i="203"/>
  <c r="C12" i="203" s="1"/>
  <c r="AD5" i="203"/>
  <c r="AC5" i="203"/>
  <c r="Z5" i="203"/>
  <c r="Y5" i="203"/>
  <c r="BM4" i="203"/>
  <c r="BI4" i="203"/>
  <c r="BE4" i="203"/>
  <c r="BA4" i="203"/>
  <c r="AT4" i="203"/>
  <c r="AQ4" i="203"/>
  <c r="AP4" i="203"/>
  <c r="AI4" i="203"/>
  <c r="AA4" i="203"/>
  <c r="BA3" i="203"/>
  <c r="AZ2" i="203"/>
  <c r="B2" i="203"/>
  <c r="V20" i="203"/>
  <c r="V24" i="203"/>
  <c r="V43" i="203"/>
  <c r="V26" i="203"/>
  <c r="V44" i="203"/>
  <c r="V18" i="203"/>
  <c r="V47" i="203"/>
  <c r="V30" i="203"/>
  <c r="V45" i="203"/>
  <c r="V51" i="203"/>
  <c r="V34" i="203"/>
  <c r="D7" i="203"/>
  <c r="V17" i="203"/>
  <c r="V15" i="203"/>
  <c r="V38" i="203"/>
  <c r="V39" i="203"/>
  <c r="V19" i="203"/>
  <c r="V32" i="203"/>
  <c r="V46" i="203"/>
  <c r="V48" i="203"/>
  <c r="V49" i="203"/>
  <c r="V52" i="203"/>
  <c r="C7" i="203"/>
  <c r="V37" i="203"/>
  <c r="V28" i="203"/>
  <c r="V36" i="203"/>
  <c r="V41" i="203"/>
  <c r="V22" i="203"/>
  <c r="V21" i="203"/>
  <c r="V29" i="203"/>
  <c r="V40" i="203"/>
  <c r="V16" i="203"/>
  <c r="V42" i="203"/>
  <c r="V23" i="203"/>
  <c r="V25" i="203"/>
  <c r="V35" i="203"/>
  <c r="V31" i="203"/>
  <c r="V33" i="203"/>
  <c r="V50" i="203"/>
  <c r="V27" i="203"/>
  <c r="C13" i="203" l="1"/>
  <c r="C14" i="203"/>
  <c r="AH50" i="203"/>
  <c r="BX12" i="203"/>
  <c r="AH46" i="203"/>
  <c r="AH48" i="203"/>
  <c r="AH52" i="203"/>
  <c r="BH11" i="203"/>
  <c r="BY12" i="203" s="1"/>
  <c r="AH47" i="203"/>
  <c r="AH49" i="203"/>
  <c r="AH51" i="203"/>
  <c r="AZ11" i="203"/>
  <c r="BP12" i="203" s="1"/>
  <c r="BL11" i="203"/>
  <c r="BR12" i="203"/>
  <c r="F46" i="203"/>
  <c r="F51" i="203"/>
  <c r="F48" i="203"/>
  <c r="F49" i="203"/>
  <c r="F50" i="203"/>
  <c r="F47" i="203"/>
  <c r="F52" i="203"/>
  <c r="AC8" i="203"/>
  <c r="AC6" i="203"/>
  <c r="Y8" i="203"/>
  <c r="Z8" i="203"/>
  <c r="AF29" i="203"/>
  <c r="AG29" i="203"/>
  <c r="AF28" i="203"/>
  <c r="AD8" i="203"/>
  <c r="Z10" i="203"/>
  <c r="Z6" i="203"/>
  <c r="Y6" i="203"/>
  <c r="AF15" i="203"/>
  <c r="AD6" i="203"/>
  <c r="AG16" i="203"/>
  <c r="F17" i="203"/>
  <c r="F24" i="203"/>
  <c r="F22" i="203"/>
  <c r="F28" i="203"/>
  <c r="BH75" i="203"/>
  <c r="H75" i="203"/>
  <c r="BH3" i="203"/>
  <c r="H3" i="203"/>
  <c r="F25" i="203"/>
  <c r="F18" i="203"/>
  <c r="AH21" i="203"/>
  <c r="F21" i="203"/>
  <c r="F27" i="203"/>
  <c r="F31" i="203"/>
  <c r="F44" i="203"/>
  <c r="AH16" i="203"/>
  <c r="F16" i="203"/>
  <c r="AH15" i="203"/>
  <c r="F15" i="203"/>
  <c r="AH19" i="203"/>
  <c r="F19" i="203"/>
  <c r="F23" i="203"/>
  <c r="F20" i="203"/>
  <c r="AH20" i="203"/>
  <c r="F29" i="203"/>
  <c r="F40" i="203"/>
  <c r="F26" i="203"/>
  <c r="F30" i="203"/>
  <c r="F35" i="203"/>
  <c r="F36" i="203"/>
  <c r="F39" i="203"/>
  <c r="F43" i="203"/>
  <c r="F34" i="203"/>
  <c r="F38" i="203"/>
  <c r="F42" i="203"/>
  <c r="F33" i="203"/>
  <c r="F32" i="203"/>
  <c r="F37" i="203"/>
  <c r="F41" i="203"/>
  <c r="F45" i="203"/>
  <c r="C15" i="203"/>
  <c r="AG15" i="203"/>
  <c r="AF19" i="203"/>
  <c r="AG17" i="203"/>
  <c r="AG19" i="203"/>
  <c r="AF24" i="203"/>
  <c r="AH42" i="203"/>
  <c r="AH38" i="203"/>
  <c r="AH43" i="203"/>
  <c r="AH39" i="203"/>
  <c r="AH35" i="203"/>
  <c r="AH44" i="203"/>
  <c r="AH40" i="203"/>
  <c r="AH36" i="203"/>
  <c r="AH45" i="203"/>
  <c r="AH41" i="203"/>
  <c r="AH37" i="203"/>
  <c r="AH32" i="203"/>
  <c r="AH27" i="203"/>
  <c r="AH23" i="203"/>
  <c r="AH18" i="203"/>
  <c r="AH34" i="203"/>
  <c r="AH28" i="203"/>
  <c r="AH24" i="203"/>
  <c r="AH31" i="203"/>
  <c r="AH29" i="203"/>
  <c r="AH33" i="203"/>
  <c r="AH26" i="203"/>
  <c r="AH22" i="203"/>
  <c r="AH17" i="203"/>
  <c r="BW12" i="203"/>
  <c r="AG22" i="203"/>
  <c r="AG24" i="203"/>
  <c r="AG25" i="203"/>
  <c r="AF45" i="203"/>
  <c r="AF41" i="203"/>
  <c r="AF37" i="203"/>
  <c r="AG42" i="203"/>
  <c r="AG38" i="203"/>
  <c r="AG34" i="203"/>
  <c r="AF33" i="203"/>
  <c r="AF42" i="203"/>
  <c r="AF38" i="203"/>
  <c r="AF34" i="203"/>
  <c r="AG43" i="203"/>
  <c r="AG39" i="203"/>
  <c r="AG35" i="203"/>
  <c r="AF43" i="203"/>
  <c r="AF39" i="203"/>
  <c r="AF35" i="203"/>
  <c r="AG44" i="203"/>
  <c r="AG40" i="203"/>
  <c r="AG36" i="203"/>
  <c r="AF44" i="203"/>
  <c r="AF40" i="203"/>
  <c r="AF36" i="203"/>
  <c r="AF31" i="203"/>
  <c r="AG33" i="203"/>
  <c r="AF30" i="203"/>
  <c r="AG41" i="203"/>
  <c r="AF26" i="203"/>
  <c r="AF22" i="203"/>
  <c r="AF17" i="203"/>
  <c r="AG27" i="203"/>
  <c r="AG23" i="203"/>
  <c r="AF27" i="203"/>
  <c r="AF23" i="203"/>
  <c r="AG45" i="203"/>
  <c r="AG32" i="203"/>
  <c r="AG28" i="203"/>
  <c r="AG30" i="203"/>
  <c r="AF25" i="203"/>
  <c r="AF21" i="203"/>
  <c r="BV12" i="203"/>
  <c r="AF18" i="203"/>
  <c r="AF20" i="203"/>
  <c r="AG21" i="203"/>
  <c r="AH25" i="203"/>
  <c r="AG31" i="203"/>
  <c r="AT9" i="203"/>
  <c r="BQ12" i="203"/>
  <c r="AF16" i="203"/>
  <c r="AG18" i="203"/>
  <c r="AG20" i="203"/>
  <c r="AH30" i="203"/>
  <c r="AF32" i="203"/>
  <c r="AG37" i="203"/>
  <c r="C21" i="189"/>
  <c r="BD19" i="203"/>
  <c r="BL50" i="203"/>
  <c r="BH43" i="203"/>
  <c r="BD50" i="203"/>
  <c r="BL26" i="203"/>
  <c r="BD31" i="203"/>
  <c r="BL23" i="203"/>
  <c r="BD30" i="203"/>
  <c r="BD49" i="203"/>
  <c r="AI33" i="203"/>
  <c r="AI39" i="203"/>
  <c r="AZ37" i="203"/>
  <c r="BH20" i="203"/>
  <c r="AZ50" i="203"/>
  <c r="BD34" i="203"/>
  <c r="BD18" i="203"/>
  <c r="AI40" i="203"/>
  <c r="BL45" i="203"/>
  <c r="BD21" i="203"/>
  <c r="BH39" i="203"/>
  <c r="AI49" i="203"/>
  <c r="AZ47" i="203"/>
  <c r="AI45" i="203"/>
  <c r="BD43" i="203"/>
  <c r="AZ21" i="203"/>
  <c r="AI23" i="203"/>
  <c r="AI20" i="203"/>
  <c r="BL22" i="203"/>
  <c r="AZ48" i="203"/>
  <c r="BD32" i="203"/>
  <c r="BL36" i="203"/>
  <c r="AZ38" i="203"/>
  <c r="BL39" i="203"/>
  <c r="AZ30" i="203"/>
  <c r="AZ41" i="203"/>
  <c r="AI32" i="203"/>
  <c r="AI31" i="203"/>
  <c r="BL49" i="203"/>
  <c r="BL19" i="203"/>
  <c r="BL29" i="203"/>
  <c r="AI46" i="203"/>
  <c r="AZ32" i="203"/>
  <c r="AI41" i="203"/>
  <c r="AI24" i="203"/>
  <c r="AJ24" i="203" s="1"/>
  <c r="BH44" i="203"/>
  <c r="BD25" i="203"/>
  <c r="BL21" i="203"/>
  <c r="BD40" i="203"/>
  <c r="BH34" i="203"/>
  <c r="BD44" i="203"/>
  <c r="BH33" i="203"/>
  <c r="AI44" i="203"/>
  <c r="AK44" i="203" s="1"/>
  <c r="AI16" i="203"/>
  <c r="BL33" i="203"/>
  <c r="AI28" i="203"/>
  <c r="BL27" i="203"/>
  <c r="BH47" i="203"/>
  <c r="AI36" i="203"/>
  <c r="BH29" i="203"/>
  <c r="AI48" i="203"/>
  <c r="AI19" i="203"/>
  <c r="BH23" i="203"/>
  <c r="AZ46" i="203"/>
  <c r="AI15" i="203"/>
  <c r="AJ15" i="203" s="1"/>
  <c r="BD26" i="203"/>
  <c r="AZ20" i="203"/>
  <c r="BH51" i="203"/>
  <c r="BL28" i="203"/>
  <c r="BH32" i="203"/>
  <c r="BD20" i="203"/>
  <c r="AZ45" i="203"/>
  <c r="BD48" i="203"/>
  <c r="BD52" i="203"/>
  <c r="AI37" i="203"/>
  <c r="AI22" i="203"/>
  <c r="BL24" i="203"/>
  <c r="AJ37" i="203"/>
  <c r="BD41" i="203"/>
  <c r="AI50" i="203"/>
  <c r="BL18" i="203"/>
  <c r="AJ22" i="203"/>
  <c r="BD23" i="203"/>
  <c r="AZ25" i="203"/>
  <c r="BD33" i="203"/>
  <c r="BH52" i="203"/>
  <c r="AZ15" i="203"/>
  <c r="BH19" i="203"/>
  <c r="BL38" i="203"/>
  <c r="AI38" i="203"/>
  <c r="AZ23" i="203"/>
  <c r="BH50" i="203"/>
  <c r="BD17" i="203"/>
  <c r="BD42" i="203"/>
  <c r="BL17" i="203"/>
  <c r="BL37" i="203"/>
  <c r="BL40" i="203"/>
  <c r="AM44" i="203"/>
  <c r="BH42" i="203"/>
  <c r="BL51" i="203"/>
  <c r="BH22" i="203"/>
  <c r="AI51" i="203"/>
  <c r="BH46" i="203"/>
  <c r="AI34" i="203"/>
  <c r="BH37" i="203"/>
  <c r="AI27" i="203"/>
  <c r="BH45" i="203"/>
  <c r="BD24" i="203"/>
  <c r="AI26" i="203"/>
  <c r="AK31" i="203"/>
  <c r="AM31" i="203" s="1"/>
  <c r="AN31" i="203" s="1"/>
  <c r="AK23" i="203"/>
  <c r="AM23" i="203" s="1"/>
  <c r="BL52" i="203"/>
  <c r="BD39" i="203"/>
  <c r="AZ44" i="203"/>
  <c r="AI25" i="203"/>
  <c r="AL23" i="203"/>
  <c r="BH15" i="203"/>
  <c r="BH36" i="203"/>
  <c r="AZ16" i="203"/>
  <c r="BD27" i="203"/>
  <c r="AZ33" i="203"/>
  <c r="BH26" i="203"/>
  <c r="BD22" i="203"/>
  <c r="AI29" i="203"/>
  <c r="BH31" i="203"/>
  <c r="BL43" i="203"/>
  <c r="AZ22" i="203"/>
  <c r="BL20" i="203"/>
  <c r="BD28" i="203"/>
  <c r="AZ27" i="203"/>
  <c r="BL44" i="203"/>
  <c r="BL46" i="203"/>
  <c r="BH25" i="203"/>
  <c r="AJ41" i="203"/>
  <c r="BL34" i="203"/>
  <c r="BL41" i="203"/>
  <c r="BD45" i="203"/>
  <c r="AZ36" i="203"/>
  <c r="AZ29" i="203"/>
  <c r="AZ18" i="203"/>
  <c r="BL25" i="203"/>
  <c r="BL47" i="203"/>
  <c r="BL30" i="203"/>
  <c r="AZ39" i="203"/>
  <c r="AO31" i="203"/>
  <c r="BH40" i="203"/>
  <c r="AZ34" i="203"/>
  <c r="BD15" i="203"/>
  <c r="AI47" i="203"/>
  <c r="BH49" i="203"/>
  <c r="AZ31" i="203"/>
  <c r="BD37" i="203"/>
  <c r="BD16" i="203"/>
  <c r="AZ52" i="203"/>
  <c r="AI30" i="203"/>
  <c r="AZ49" i="203"/>
  <c r="AI35" i="203"/>
  <c r="BL16" i="203"/>
  <c r="BH30" i="203"/>
  <c r="AK15" i="203"/>
  <c r="BL15" i="203"/>
  <c r="BD29" i="203"/>
  <c r="AZ40" i="203"/>
  <c r="BH38" i="203"/>
  <c r="BD35" i="203"/>
  <c r="AZ42" i="203"/>
  <c r="BH18" i="203"/>
  <c r="BL42" i="203"/>
  <c r="BH17" i="203"/>
  <c r="BH16" i="203"/>
  <c r="AZ17" i="203"/>
  <c r="AZ28" i="203"/>
  <c r="AZ19" i="203"/>
  <c r="AI17" i="203"/>
  <c r="AJ17" i="203" s="1"/>
  <c r="BL35" i="203"/>
  <c r="AK33" i="203"/>
  <c r="BH27" i="203"/>
  <c r="AZ24" i="203"/>
  <c r="AI42" i="203"/>
  <c r="BD46" i="203"/>
  <c r="AZ51" i="203"/>
  <c r="AK20" i="203"/>
  <c r="BL48" i="203"/>
  <c r="AK41" i="203"/>
  <c r="AI43" i="203"/>
  <c r="AK43" i="203" s="1"/>
  <c r="AK26" i="203"/>
  <c r="BH35" i="203"/>
  <c r="AZ43" i="203"/>
  <c r="AI52" i="203"/>
  <c r="BH21" i="203"/>
  <c r="BH41" i="203"/>
  <c r="AI18" i="203"/>
  <c r="AJ18" i="203" s="1"/>
  <c r="AK32" i="203"/>
  <c r="BH48" i="203"/>
  <c r="AZ26" i="203"/>
  <c r="BL31" i="203"/>
  <c r="BL32" i="203"/>
  <c r="BD38" i="203"/>
  <c r="AI21" i="203"/>
  <c r="BD51" i="203"/>
  <c r="BD47" i="203"/>
  <c r="AZ35" i="203"/>
  <c r="BH24" i="203"/>
  <c r="BD36" i="203"/>
  <c r="BH28" i="203"/>
  <c r="AJ36" i="203"/>
  <c r="AJ34" i="203"/>
  <c r="AK34" i="203"/>
  <c r="AM34" i="203" s="1"/>
  <c r="AN23" i="203"/>
  <c r="AO23" i="203"/>
  <c r="AK30" i="203"/>
  <c r="AJ30" i="203"/>
  <c r="AK42" i="203"/>
  <c r="AL20" i="203"/>
  <c r="AM20" i="203"/>
  <c r="AM42" i="203"/>
  <c r="AN20" i="203"/>
  <c r="AO20" i="203"/>
  <c r="AO42" i="203"/>
  <c r="AN42" i="203"/>
  <c r="BS12" i="203" l="1"/>
  <c r="BZ12" i="203"/>
  <c r="BT12" i="203"/>
  <c r="AP20" i="203"/>
  <c r="BR20" i="203" s="1"/>
  <c r="AP31" i="203"/>
  <c r="BR31" i="203" s="1"/>
  <c r="AP42" i="203"/>
  <c r="BR42" i="203" s="1"/>
  <c r="AP23" i="203"/>
  <c r="BR23" i="203" s="1"/>
  <c r="AT44" i="203"/>
  <c r="AT40" i="203"/>
  <c r="AT36" i="203"/>
  <c r="AT45" i="203"/>
  <c r="AT41" i="203"/>
  <c r="AT37" i="203"/>
  <c r="AT32" i="203"/>
  <c r="AT33" i="203"/>
  <c r="AT42" i="203"/>
  <c r="AT38" i="203"/>
  <c r="AT34" i="203"/>
  <c r="AT43" i="203"/>
  <c r="AT39" i="203"/>
  <c r="AT35" i="203"/>
  <c r="AT29" i="203"/>
  <c r="AT25" i="203"/>
  <c r="AT21" i="203"/>
  <c r="AT30" i="203"/>
  <c r="AT26" i="203"/>
  <c r="AT22" i="203"/>
  <c r="AT31" i="203"/>
  <c r="AT28" i="203"/>
  <c r="AT24" i="203"/>
  <c r="AT19" i="203"/>
  <c r="AT20" i="203"/>
  <c r="AT15" i="203"/>
  <c r="AT17" i="203"/>
  <c r="AT16" i="203"/>
  <c r="AT23" i="203"/>
  <c r="AT27" i="203"/>
  <c r="AT18" i="203"/>
  <c r="AL42" i="203"/>
  <c r="AK29" i="203"/>
  <c r="AL29" i="203" s="1"/>
  <c r="AJ49" i="203"/>
  <c r="AJ51" i="203"/>
  <c r="AJ31" i="203"/>
  <c r="BM47" i="203"/>
  <c r="AM30" i="203"/>
  <c r="BM45" i="203"/>
  <c r="AN30" i="203"/>
  <c r="BE41" i="203"/>
  <c r="AL31" i="203"/>
  <c r="BE28" i="203"/>
  <c r="BA40" i="203"/>
  <c r="BM34" i="203"/>
  <c r="BA16" i="203"/>
  <c r="BM31" i="203"/>
  <c r="AJ43" i="203"/>
  <c r="BA35" i="203"/>
  <c r="BE32" i="203"/>
  <c r="BM43" i="203"/>
  <c r="BA34" i="203"/>
  <c r="AJ39" i="203"/>
  <c r="BI36" i="203"/>
  <c r="BM28" i="203"/>
  <c r="BI35" i="203"/>
  <c r="BE49" i="203"/>
  <c r="AK16" i="203"/>
  <c r="AK39" i="203"/>
  <c r="AM39" i="203"/>
  <c r="AJ50" i="203"/>
  <c r="BA22" i="203"/>
  <c r="AN44" i="203"/>
  <c r="BE29" i="203"/>
  <c r="AJ20" i="203"/>
  <c r="BI42" i="203"/>
  <c r="BE17" i="203"/>
  <c r="BA19" i="203"/>
  <c r="AJ42" i="203"/>
  <c r="BA52" i="203"/>
  <c r="AJ29" i="203"/>
  <c r="BE46" i="203"/>
  <c r="BA50" i="203"/>
  <c r="BI45" i="203"/>
  <c r="BM51" i="203"/>
  <c r="AJ32" i="203"/>
  <c r="BM36" i="203"/>
  <c r="BI50" i="203"/>
  <c r="BI43" i="203"/>
  <c r="AK45" i="203"/>
  <c r="BM52" i="203"/>
  <c r="BA36" i="203"/>
  <c r="AN34" i="203"/>
  <c r="AJ26" i="203"/>
  <c r="AJ33" i="203"/>
  <c r="BM24" i="203"/>
  <c r="BI33" i="203"/>
  <c r="BE15" i="203"/>
  <c r="BA25" i="203"/>
  <c r="BM42" i="203"/>
  <c r="AK48" i="203"/>
  <c r="BM50" i="203"/>
  <c r="BA28" i="203"/>
  <c r="AK25" i="203"/>
  <c r="BA49" i="203"/>
  <c r="BM38" i="203"/>
  <c r="BA30" i="203"/>
  <c r="BI19" i="203"/>
  <c r="AK37" i="203"/>
  <c r="AJ27" i="203"/>
  <c r="BA51" i="203"/>
  <c r="BE34" i="203"/>
  <c r="BA41" i="203"/>
  <c r="AJ23" i="203"/>
  <c r="BI18" i="203"/>
  <c r="BI49" i="203"/>
  <c r="AL43" i="203"/>
  <c r="AJ44" i="203"/>
  <c r="BE21" i="203"/>
  <c r="AL15" i="203"/>
  <c r="BE44" i="203"/>
  <c r="BE35" i="203"/>
  <c r="BM29" i="203"/>
  <c r="BM44" i="203"/>
  <c r="BE18" i="203"/>
  <c r="AL26" i="203"/>
  <c r="AK22" i="203"/>
  <c r="BA23" i="203"/>
  <c r="BE38" i="203"/>
  <c r="BI48" i="203"/>
  <c r="AM33" i="203"/>
  <c r="BM32" i="203"/>
  <c r="AK50" i="203"/>
  <c r="BA18" i="203"/>
  <c r="AJ21" i="203"/>
  <c r="BE20" i="203"/>
  <c r="BA20" i="203"/>
  <c r="AJ19" i="203"/>
  <c r="BA21" i="203"/>
  <c r="BI32" i="203"/>
  <c r="BE19" i="203"/>
  <c r="BA43" i="203"/>
  <c r="AK47" i="203"/>
  <c r="AJ25" i="203"/>
  <c r="AM41" i="203"/>
  <c r="BI38" i="203"/>
  <c r="BE50" i="203"/>
  <c r="AK17" i="203"/>
  <c r="AM29" i="203"/>
  <c r="BM39" i="203"/>
  <c r="AL30" i="203"/>
  <c r="BM48" i="203"/>
  <c r="BE37" i="203"/>
  <c r="AK24" i="203"/>
  <c r="BM18" i="203"/>
  <c r="BI51" i="203"/>
  <c r="BI16" i="203"/>
  <c r="BA37" i="203"/>
  <c r="BA44" i="203"/>
  <c r="BE45" i="203"/>
  <c r="BA47" i="203"/>
  <c r="BI39" i="203"/>
  <c r="AL16" i="203"/>
  <c r="AN39" i="203"/>
  <c r="AM43" i="203"/>
  <c r="BE42" i="203"/>
  <c r="BA27" i="203"/>
  <c r="AK40" i="203"/>
  <c r="BE43" i="203"/>
  <c r="BI40" i="203"/>
  <c r="BE39" i="203"/>
  <c r="BE27" i="203"/>
  <c r="AJ47" i="203"/>
  <c r="BE47" i="203"/>
  <c r="BI30" i="203"/>
  <c r="BE51" i="203"/>
  <c r="AL37" i="203"/>
  <c r="AJ52" i="203"/>
  <c r="BI23" i="203"/>
  <c r="AM48" i="203"/>
  <c r="AK38" i="203"/>
  <c r="AL38" i="203" s="1"/>
  <c r="AL41" i="203"/>
  <c r="AO34" i="203"/>
  <c r="BA17" i="203"/>
  <c r="AN29" i="203"/>
  <c r="AM32" i="203"/>
  <c r="AJ48" i="203"/>
  <c r="AM15" i="203"/>
  <c r="BM21" i="203"/>
  <c r="BM19" i="203"/>
  <c r="BA42" i="203"/>
  <c r="AL34" i="203"/>
  <c r="BA26" i="203"/>
  <c r="BE36" i="203"/>
  <c r="AK21" i="203"/>
  <c r="BI26" i="203"/>
  <c r="BI44" i="203"/>
  <c r="BI27" i="203"/>
  <c r="AN33" i="203"/>
  <c r="BE33" i="203"/>
  <c r="AL32" i="203"/>
  <c r="AK28" i="203"/>
  <c r="BI34" i="203"/>
  <c r="BE30" i="203"/>
  <c r="BM17" i="203"/>
  <c r="BM22" i="203"/>
  <c r="AL28" i="203"/>
  <c r="BM37" i="203"/>
  <c r="BM46" i="203"/>
  <c r="BI25" i="203"/>
  <c r="BE31" i="203"/>
  <c r="BM40" i="203"/>
  <c r="BI15" i="203"/>
  <c r="BM23" i="203"/>
  <c r="BI24" i="203"/>
  <c r="AM45" i="203"/>
  <c r="AM16" i="203"/>
  <c r="AN16" i="203" s="1"/>
  <c r="BI17" i="203"/>
  <c r="AO44" i="203"/>
  <c r="BI46" i="203"/>
  <c r="BM26" i="203"/>
  <c r="BM15" i="203"/>
  <c r="BE23" i="203"/>
  <c r="BE24" i="203"/>
  <c r="AJ46" i="203"/>
  <c r="BM16" i="203"/>
  <c r="AJ45" i="203"/>
  <c r="BM41" i="203"/>
  <c r="AO43" i="203"/>
  <c r="BM20" i="203"/>
  <c r="AM47" i="203"/>
  <c r="BA15" i="203"/>
  <c r="BI29" i="203"/>
  <c r="AK46" i="203"/>
  <c r="AL46" i="203" s="1"/>
  <c r="BM33" i="203"/>
  <c r="AK35" i="203"/>
  <c r="AN47" i="203"/>
  <c r="AK52" i="203"/>
  <c r="AJ28" i="203"/>
  <c r="AJ40" i="203"/>
  <c r="BM30" i="203"/>
  <c r="BE22" i="203"/>
  <c r="BI21" i="203"/>
  <c r="AK36" i="203"/>
  <c r="AM36" i="203" s="1"/>
  <c r="AO36" i="203" s="1"/>
  <c r="BA24" i="203"/>
  <c r="BE25" i="203"/>
  <c r="BM49" i="203"/>
  <c r="BI20" i="203"/>
  <c r="AM26" i="203"/>
  <c r="BI31" i="203"/>
  <c r="BI47" i="203"/>
  <c r="BE48" i="203"/>
  <c r="AM25" i="203"/>
  <c r="AO25" i="203" s="1"/>
  <c r="BI22" i="203"/>
  <c r="AO30" i="203"/>
  <c r="AM46" i="203"/>
  <c r="AN46" i="203" s="1"/>
  <c r="BM27" i="203"/>
  <c r="BA45" i="203"/>
  <c r="BM35" i="203"/>
  <c r="AJ16" i="203"/>
  <c r="BA29" i="203"/>
  <c r="AL24" i="203"/>
  <c r="BE52" i="203"/>
  <c r="BA46" i="203"/>
  <c r="BI37" i="203"/>
  <c r="BA48" i="203"/>
  <c r="BE40" i="203"/>
  <c r="AM17" i="203"/>
  <c r="BM25" i="203"/>
  <c r="AN25" i="203"/>
  <c r="AL45" i="203"/>
  <c r="AL44" i="203"/>
  <c r="AJ38" i="203"/>
  <c r="AL33" i="203"/>
  <c r="BE16" i="203"/>
  <c r="BA39" i="203"/>
  <c r="AK49" i="203"/>
  <c r="AM49" i="203" s="1"/>
  <c r="AK51" i="203"/>
  <c r="AM37" i="203"/>
  <c r="AO16" i="203"/>
  <c r="BA31" i="203"/>
  <c r="BI41" i="203"/>
  <c r="BI52" i="203"/>
  <c r="BA38" i="203"/>
  <c r="BE26" i="203"/>
  <c r="AK27" i="203"/>
  <c r="BE6" i="203"/>
  <c r="AJ35" i="203"/>
  <c r="BA32" i="203"/>
  <c r="AO33" i="203"/>
  <c r="BI28" i="203"/>
  <c r="BA33" i="203"/>
  <c r="AK18" i="203"/>
  <c r="AK19" i="203"/>
  <c r="AL19" i="203" s="1"/>
  <c r="AM19" i="203"/>
  <c r="AN19" i="203" s="1"/>
  <c r="AL22" i="203"/>
  <c r="AL50" i="203"/>
  <c r="AN32" i="203"/>
  <c r="AN15" i="203"/>
  <c r="AO15" i="203"/>
  <c r="BM7" i="203"/>
  <c r="BM5" i="203"/>
  <c r="BA7" i="203"/>
  <c r="BA6" i="203"/>
  <c r="BA5" i="203"/>
  <c r="AL52" i="203"/>
  <c r="AN26" i="203"/>
  <c r="AO26" i="203"/>
  <c r="AN17" i="203"/>
  <c r="AO17" i="203"/>
  <c r="BE7" i="203"/>
  <c r="BE5" i="203"/>
  <c r="AM51" i="203"/>
  <c r="AO37" i="203"/>
  <c r="AN37" i="203"/>
  <c r="BI7" i="203"/>
  <c r="BI5" i="203"/>
  <c r="AL18" i="203"/>
  <c r="AM18" i="203"/>
  <c r="AO18" i="203" s="1"/>
  <c r="AN51" i="203"/>
  <c r="BQ20" i="203" l="1"/>
  <c r="AP16" i="203"/>
  <c r="BR16" i="203" s="1"/>
  <c r="AP18" i="203"/>
  <c r="BR18" i="203" s="1"/>
  <c r="AP37" i="203"/>
  <c r="BR37" i="203" s="1"/>
  <c r="AP36" i="203"/>
  <c r="BR36" i="203" s="1"/>
  <c r="BQ23" i="203"/>
  <c r="BP23" i="203"/>
  <c r="AP26" i="203"/>
  <c r="BR26" i="203" s="1"/>
  <c r="BP22" i="203"/>
  <c r="BS17" i="203"/>
  <c r="AP15" i="203"/>
  <c r="BQ30" i="203"/>
  <c r="BP30" i="203"/>
  <c r="BQ41" i="203"/>
  <c r="AP34" i="203"/>
  <c r="BR34" i="203" s="1"/>
  <c r="BP34" i="203"/>
  <c r="BS36" i="203"/>
  <c r="AP43" i="203"/>
  <c r="BR43" i="203" s="1"/>
  <c r="BP43" i="203"/>
  <c r="BQ17" i="203"/>
  <c r="BP41" i="203"/>
  <c r="BS20" i="203"/>
  <c r="BP38" i="203"/>
  <c r="AP33" i="203"/>
  <c r="BR33" i="203" s="1"/>
  <c r="BS21" i="203"/>
  <c r="BS30" i="203"/>
  <c r="AP30" i="203"/>
  <c r="BR30" i="203" s="1"/>
  <c r="AP44" i="203"/>
  <c r="BR44" i="203" s="1"/>
  <c r="AP25" i="203"/>
  <c r="BR25" i="203" s="1"/>
  <c r="BQ37" i="203"/>
  <c r="BP36" i="203"/>
  <c r="BT27" i="203"/>
  <c r="BS34" i="203"/>
  <c r="AP17" i="203"/>
  <c r="BR17" i="203" s="1"/>
  <c r="BP42" i="203"/>
  <c r="BS31" i="203"/>
  <c r="BP40" i="203"/>
  <c r="BT17" i="203"/>
  <c r="BS38" i="203"/>
  <c r="BQ27" i="203"/>
  <c r="BQ35" i="203"/>
  <c r="BS18" i="203"/>
  <c r="BQ32" i="203"/>
  <c r="BS43" i="203"/>
  <c r="BT42" i="203"/>
  <c r="BT19" i="203"/>
  <c r="BQ45" i="203"/>
  <c r="BP28" i="203"/>
  <c r="BT32" i="203"/>
  <c r="BS22" i="203"/>
  <c r="BT45" i="203"/>
  <c r="BS15" i="203"/>
  <c r="BQ26" i="203"/>
  <c r="BT34" i="203"/>
  <c r="BP27" i="203"/>
  <c r="BT21" i="203"/>
  <c r="BT41" i="203"/>
  <c r="BT26" i="203"/>
  <c r="BP24" i="203"/>
  <c r="BS26" i="203"/>
  <c r="BQ25" i="203"/>
  <c r="BT28" i="203"/>
  <c r="BP25" i="203"/>
  <c r="BQ31" i="203"/>
  <c r="BS24" i="203"/>
  <c r="BS45" i="203"/>
  <c r="BT15" i="203"/>
  <c r="BT38" i="203"/>
  <c r="BQ29" i="203"/>
  <c r="BP19" i="203"/>
  <c r="BT25" i="203"/>
  <c r="BS19" i="203"/>
  <c r="BS32" i="203"/>
  <c r="BT31" i="203"/>
  <c r="BP50" i="203"/>
  <c r="BQ43" i="203"/>
  <c r="BQ50" i="203"/>
  <c r="BS27" i="203"/>
  <c r="BQ36" i="203"/>
  <c r="BT40" i="203"/>
  <c r="BT44" i="203"/>
  <c r="BS35" i="203"/>
  <c r="BT39" i="203"/>
  <c r="BT36" i="203"/>
  <c r="BT48" i="203"/>
  <c r="BQ39" i="203"/>
  <c r="BT50" i="203"/>
  <c r="BP39" i="203"/>
  <c r="BP51" i="203"/>
  <c r="BT33" i="203"/>
  <c r="BQ38" i="203"/>
  <c r="BT22" i="203"/>
  <c r="BS25" i="203"/>
  <c r="BP18" i="203"/>
  <c r="BQ52" i="203"/>
  <c r="BS29" i="203"/>
  <c r="BS37" i="203"/>
  <c r="BS47" i="203"/>
  <c r="BS40" i="203"/>
  <c r="BT51" i="203"/>
  <c r="BQ18" i="203"/>
  <c r="BP20" i="203"/>
  <c r="BQ44" i="203"/>
  <c r="BS49" i="203"/>
  <c r="BT24" i="203"/>
  <c r="BP46" i="203"/>
  <c r="BS28" i="203"/>
  <c r="BQ49" i="203"/>
  <c r="BS33" i="203"/>
  <c r="BT20" i="203"/>
  <c r="BP44" i="203"/>
  <c r="BT16" i="203"/>
  <c r="BQ40" i="203"/>
  <c r="BT46" i="203"/>
  <c r="BQ51" i="203"/>
  <c r="BT18" i="203"/>
  <c r="BP32" i="203"/>
  <c r="BS51" i="203"/>
  <c r="BQ28" i="203"/>
  <c r="BP45" i="203"/>
  <c r="BS23" i="203"/>
  <c r="BQ42" i="203"/>
  <c r="BQ47" i="203"/>
  <c r="BQ33" i="203"/>
  <c r="BQ16" i="203"/>
  <c r="BQ46" i="203"/>
  <c r="BS52" i="203"/>
  <c r="BQ24" i="203"/>
  <c r="BT35" i="203"/>
  <c r="BS48" i="203"/>
  <c r="BQ48" i="203"/>
  <c r="BP31" i="203"/>
  <c r="BT30" i="203"/>
  <c r="BS39" i="203"/>
  <c r="BQ19" i="203"/>
  <c r="BP35" i="203"/>
  <c r="BQ21" i="203"/>
  <c r="BP33" i="203"/>
  <c r="BP52" i="203"/>
  <c r="BS16" i="203"/>
  <c r="BP21" i="203"/>
  <c r="BS41" i="203"/>
  <c r="BT37" i="203"/>
  <c r="BP49" i="203"/>
  <c r="BP16" i="203"/>
  <c r="BP17" i="203"/>
  <c r="BT52" i="203"/>
  <c r="BT49" i="203"/>
  <c r="BP48" i="203"/>
  <c r="BS44" i="203"/>
  <c r="BT29" i="203"/>
  <c r="BP15" i="203"/>
  <c r="BT23" i="203"/>
  <c r="BS46" i="203"/>
  <c r="BP29" i="203"/>
  <c r="BS50" i="203"/>
  <c r="BT43" i="203"/>
  <c r="BQ15" i="203"/>
  <c r="BP47" i="203"/>
  <c r="BP26" i="203"/>
  <c r="BS42" i="203"/>
  <c r="BQ34" i="203"/>
  <c r="BQ22" i="203"/>
  <c r="BT47" i="203"/>
  <c r="BP37" i="203"/>
  <c r="BF52" i="203"/>
  <c r="BW52" i="203" s="1"/>
  <c r="BF51" i="203"/>
  <c r="BW51" i="203" s="1"/>
  <c r="BF50" i="203"/>
  <c r="BW50" i="203" s="1"/>
  <c r="BF49" i="203"/>
  <c r="BW49" i="203" s="1"/>
  <c r="BF47" i="203"/>
  <c r="BW47" i="203" s="1"/>
  <c r="BF46" i="203"/>
  <c r="BW46" i="203" s="1"/>
  <c r="BF48" i="203"/>
  <c r="BW48" i="203" s="1"/>
  <c r="BB52" i="203"/>
  <c r="BV52" i="203" s="1"/>
  <c r="BB51" i="203"/>
  <c r="BV51" i="203" s="1"/>
  <c r="BB50" i="203"/>
  <c r="BV50" i="203" s="1"/>
  <c r="BB49" i="203"/>
  <c r="BV49" i="203" s="1"/>
  <c r="BB48" i="203"/>
  <c r="BV48" i="203" s="1"/>
  <c r="BB47" i="203"/>
  <c r="BV47" i="203" s="1"/>
  <c r="BB46" i="203"/>
  <c r="BV46" i="203" s="1"/>
  <c r="BF45" i="203"/>
  <c r="BW45" i="203" s="1"/>
  <c r="BF41" i="203"/>
  <c r="BW41" i="203" s="1"/>
  <c r="BF37" i="203"/>
  <c r="BW37" i="203" s="1"/>
  <c r="BF32" i="203"/>
  <c r="BW32" i="203" s="1"/>
  <c r="BF33" i="203"/>
  <c r="BW33" i="203" s="1"/>
  <c r="BF42" i="203"/>
  <c r="BW42" i="203" s="1"/>
  <c r="BF38" i="203"/>
  <c r="BW38" i="203" s="1"/>
  <c r="BF34" i="203"/>
  <c r="BW34" i="203" s="1"/>
  <c r="BF43" i="203"/>
  <c r="BW43" i="203" s="1"/>
  <c r="BF39" i="203"/>
  <c r="BW39" i="203" s="1"/>
  <c r="BF35" i="203"/>
  <c r="BW35" i="203" s="1"/>
  <c r="BF40" i="203"/>
  <c r="BW40" i="203" s="1"/>
  <c r="BF31" i="203"/>
  <c r="BW31" i="203" s="1"/>
  <c r="BF30" i="203"/>
  <c r="BW30" i="203" s="1"/>
  <c r="BF26" i="203"/>
  <c r="BW26" i="203" s="1"/>
  <c r="BF44" i="203"/>
  <c r="BW44" i="203" s="1"/>
  <c r="BF27" i="203"/>
  <c r="BW27" i="203" s="1"/>
  <c r="BF29" i="203"/>
  <c r="BW29" i="203" s="1"/>
  <c r="BF20" i="203"/>
  <c r="BW20" i="203" s="1"/>
  <c r="BF18" i="203"/>
  <c r="BW18" i="203" s="1"/>
  <c r="BF15" i="203"/>
  <c r="BF28" i="203"/>
  <c r="BW28" i="203" s="1"/>
  <c r="BF24" i="203"/>
  <c r="BW24" i="203" s="1"/>
  <c r="BF16" i="203"/>
  <c r="BW16" i="203" s="1"/>
  <c r="BF23" i="203"/>
  <c r="BW23" i="203" s="1"/>
  <c r="BF21" i="203"/>
  <c r="BW21" i="203" s="1"/>
  <c r="BF17" i="203"/>
  <c r="BW17" i="203" s="1"/>
  <c r="BF19" i="203"/>
  <c r="BW19" i="203" s="1"/>
  <c r="BF25" i="203"/>
  <c r="BW25" i="203" s="1"/>
  <c r="BF36" i="203"/>
  <c r="BW36" i="203" s="1"/>
  <c r="BF22" i="203"/>
  <c r="BW22" i="203" s="1"/>
  <c r="BB43" i="203"/>
  <c r="BV43" i="203" s="1"/>
  <c r="BB39" i="203"/>
  <c r="BV39" i="203" s="1"/>
  <c r="BB44" i="203"/>
  <c r="BV44" i="203" s="1"/>
  <c r="BB40" i="203"/>
  <c r="BV40" i="203" s="1"/>
  <c r="BB36" i="203"/>
  <c r="BV36" i="203" s="1"/>
  <c r="BB31" i="203"/>
  <c r="BV31" i="203" s="1"/>
  <c r="BB45" i="203"/>
  <c r="BV45" i="203" s="1"/>
  <c r="BB41" i="203"/>
  <c r="BV41" i="203" s="1"/>
  <c r="BB37" i="203"/>
  <c r="BV37" i="203" s="1"/>
  <c r="BB32" i="203"/>
  <c r="BV32" i="203" s="1"/>
  <c r="BB42" i="203"/>
  <c r="BV42" i="203" s="1"/>
  <c r="BB38" i="203"/>
  <c r="BV38" i="203" s="1"/>
  <c r="BB34" i="203"/>
  <c r="BV34" i="203" s="1"/>
  <c r="BB33" i="203"/>
  <c r="BV33" i="203" s="1"/>
  <c r="BB28" i="203"/>
  <c r="BV28" i="203" s="1"/>
  <c r="BB24" i="203"/>
  <c r="BV24" i="203" s="1"/>
  <c r="BB19" i="203"/>
  <c r="BV19" i="203" s="1"/>
  <c r="BB35" i="203"/>
  <c r="BV35" i="203" s="1"/>
  <c r="BB29" i="203"/>
  <c r="BV29" i="203" s="1"/>
  <c r="BB25" i="203"/>
  <c r="BV25" i="203" s="1"/>
  <c r="BB21" i="203"/>
  <c r="BV21" i="203" s="1"/>
  <c r="BB30" i="203"/>
  <c r="BV30" i="203" s="1"/>
  <c r="BB27" i="203"/>
  <c r="BV27" i="203" s="1"/>
  <c r="BB23" i="203"/>
  <c r="BV23" i="203" s="1"/>
  <c r="BB18" i="203"/>
  <c r="BV18" i="203" s="1"/>
  <c r="BB26" i="203"/>
  <c r="BV26" i="203" s="1"/>
  <c r="BB15" i="203"/>
  <c r="BB20" i="203"/>
  <c r="BV20" i="203" s="1"/>
  <c r="BB16" i="203"/>
  <c r="BV16" i="203" s="1"/>
  <c r="BB17" i="203"/>
  <c r="BV17" i="203" s="1"/>
  <c r="BB22" i="203"/>
  <c r="BV22" i="203" s="1"/>
  <c r="BR15" i="203"/>
  <c r="AO51" i="203"/>
  <c r="AM24" i="203"/>
  <c r="AN45" i="203"/>
  <c r="AN18" i="203"/>
  <c r="AL48" i="203"/>
  <c r="AL17" i="203"/>
  <c r="AL21" i="203"/>
  <c r="AL51" i="203"/>
  <c r="AM28" i="203"/>
  <c r="BM6" i="203"/>
  <c r="AL27" i="203"/>
  <c r="AO39" i="203"/>
  <c r="AM27" i="203"/>
  <c r="AO46" i="203"/>
  <c r="AO41" i="203"/>
  <c r="AN27" i="203"/>
  <c r="AO32" i="203"/>
  <c r="AO49" i="203"/>
  <c r="AL35" i="203"/>
  <c r="AM52" i="203"/>
  <c r="AM50" i="203"/>
  <c r="AM38" i="203"/>
  <c r="AO27" i="203"/>
  <c r="AM21" i="203"/>
  <c r="AM40" i="203"/>
  <c r="AM22" i="203"/>
  <c r="AL47" i="203"/>
  <c r="AL36" i="203"/>
  <c r="AN38" i="203"/>
  <c r="AL39" i="203"/>
  <c r="AN41" i="203"/>
  <c r="AO45" i="203"/>
  <c r="AL25" i="203"/>
  <c r="AN49" i="203"/>
  <c r="AO38" i="203"/>
  <c r="AN36" i="203"/>
  <c r="AO47" i="203"/>
  <c r="AL40" i="203"/>
  <c r="BI6" i="203"/>
  <c r="AO48" i="203"/>
  <c r="AN28" i="203"/>
  <c r="AN21" i="203"/>
  <c r="AN43" i="203"/>
  <c r="AM35" i="203"/>
  <c r="AN48" i="203"/>
  <c r="AL49" i="203"/>
  <c r="AO29" i="203"/>
  <c r="AN40" i="203"/>
  <c r="AO28" i="203"/>
  <c r="AO40" i="203"/>
  <c r="AO19" i="203"/>
  <c r="AO24" i="203"/>
  <c r="AN24" i="203"/>
  <c r="AN52" i="203"/>
  <c r="AO52" i="203"/>
  <c r="AO50" i="203"/>
  <c r="AN50" i="203"/>
  <c r="AO22" i="203"/>
  <c r="AN22" i="203"/>
  <c r="AP45" i="203" l="1"/>
  <c r="BR45" i="203" s="1"/>
  <c r="AP50" i="203"/>
  <c r="BR50" i="203" s="1"/>
  <c r="AP52" i="203"/>
  <c r="BR52" i="203" s="1"/>
  <c r="AP32" i="203"/>
  <c r="BR32" i="203" s="1"/>
  <c r="BN52" i="203"/>
  <c r="BZ52" i="203" s="1"/>
  <c r="BN41" i="203"/>
  <c r="BZ41" i="203" s="1"/>
  <c r="BN39" i="203"/>
  <c r="BZ39" i="203" s="1"/>
  <c r="BN17" i="203"/>
  <c r="BZ17" i="203" s="1"/>
  <c r="BN19" i="203"/>
  <c r="BZ19" i="203" s="1"/>
  <c r="BN49" i="203"/>
  <c r="BZ49" i="203" s="1"/>
  <c r="BN32" i="203"/>
  <c r="BZ32" i="203" s="1"/>
  <c r="BN20" i="203"/>
  <c r="BZ20" i="203" s="1"/>
  <c r="BN15" i="203"/>
  <c r="BZ15" i="203" s="1"/>
  <c r="BN16" i="203"/>
  <c r="BZ16" i="203" s="1"/>
  <c r="BN38" i="203"/>
  <c r="BZ38" i="203" s="1"/>
  <c r="BN29" i="203"/>
  <c r="BZ29" i="203" s="1"/>
  <c r="BN47" i="203"/>
  <c r="BZ47" i="203" s="1"/>
  <c r="BN44" i="203"/>
  <c r="BZ44" i="203" s="1"/>
  <c r="BN33" i="203"/>
  <c r="BZ33" i="203" s="1"/>
  <c r="BN25" i="203"/>
  <c r="BZ25" i="203" s="1"/>
  <c r="BN26" i="203"/>
  <c r="BZ26" i="203" s="1"/>
  <c r="BN46" i="203"/>
  <c r="BZ46" i="203" s="1"/>
  <c r="BN40" i="203"/>
  <c r="BZ40" i="203" s="1"/>
  <c r="BN42" i="203"/>
  <c r="BZ42" i="203" s="1"/>
  <c r="BN43" i="203"/>
  <c r="BZ43" i="203" s="1"/>
  <c r="BN36" i="203"/>
  <c r="BZ36" i="203" s="1"/>
  <c r="BN30" i="203"/>
  <c r="BZ30" i="203" s="1"/>
  <c r="BN18" i="203"/>
  <c r="BZ18" i="203" s="1"/>
  <c r="BN37" i="203"/>
  <c r="BZ37" i="203" s="1"/>
  <c r="BN22" i="203"/>
  <c r="BZ22" i="203" s="1"/>
  <c r="BN51" i="203"/>
  <c r="BZ51" i="203" s="1"/>
  <c r="BN31" i="203"/>
  <c r="BZ31" i="203" s="1"/>
  <c r="BN34" i="203"/>
  <c r="BZ34" i="203" s="1"/>
  <c r="BN35" i="203"/>
  <c r="BZ35" i="203" s="1"/>
  <c r="BN24" i="203"/>
  <c r="BZ24" i="203" s="1"/>
  <c r="BN48" i="203"/>
  <c r="BZ48" i="203" s="1"/>
  <c r="BN45" i="203"/>
  <c r="BZ45" i="203" s="1"/>
  <c r="BN28" i="203"/>
  <c r="BZ28" i="203" s="1"/>
  <c r="BN23" i="203"/>
  <c r="BZ23" i="203" s="1"/>
  <c r="BN21" i="203"/>
  <c r="BZ21" i="203" s="1"/>
  <c r="BN50" i="203"/>
  <c r="BZ50" i="203" s="1"/>
  <c r="BN27" i="203"/>
  <c r="BZ27" i="203" s="1"/>
  <c r="AP24" i="203"/>
  <c r="BR24" i="203" s="1"/>
  <c r="AP51" i="203"/>
  <c r="BR51" i="203" s="1"/>
  <c r="AP29" i="203"/>
  <c r="BR29" i="203" s="1"/>
  <c r="AP46" i="203"/>
  <c r="BR46" i="203" s="1"/>
  <c r="AP47" i="203"/>
  <c r="BR47" i="203" s="1"/>
  <c r="AP38" i="203"/>
  <c r="BR38" i="203" s="1"/>
  <c r="AP39" i="203"/>
  <c r="BR39" i="203" s="1"/>
  <c r="AP49" i="203"/>
  <c r="BR49" i="203" s="1"/>
  <c r="AP22" i="203"/>
  <c r="BR22" i="203" s="1"/>
  <c r="AP19" i="203"/>
  <c r="BR19" i="203" s="1"/>
  <c r="BJ17" i="203"/>
  <c r="BY17" i="203" s="1"/>
  <c r="BJ42" i="203"/>
  <c r="BY42" i="203" s="1"/>
  <c r="BJ47" i="203"/>
  <c r="BY47" i="203" s="1"/>
  <c r="BJ38" i="203"/>
  <c r="BY38" i="203" s="1"/>
  <c r="BJ41" i="203"/>
  <c r="BY41" i="203" s="1"/>
  <c r="BJ28" i="203"/>
  <c r="BY28" i="203" s="1"/>
  <c r="BJ21" i="203"/>
  <c r="BY21" i="203" s="1"/>
  <c r="BJ46" i="203"/>
  <c r="BY46" i="203" s="1"/>
  <c r="BJ43" i="203"/>
  <c r="BY43" i="203" s="1"/>
  <c r="BJ37" i="203"/>
  <c r="BY37" i="203" s="1"/>
  <c r="BJ24" i="203"/>
  <c r="BY24" i="203" s="1"/>
  <c r="BJ19" i="203"/>
  <c r="BY19" i="203" s="1"/>
  <c r="BJ52" i="203"/>
  <c r="BY52" i="203" s="1"/>
  <c r="BJ35" i="203"/>
  <c r="BY35" i="203" s="1"/>
  <c r="BJ30" i="203"/>
  <c r="BY30" i="203" s="1"/>
  <c r="BJ39" i="203"/>
  <c r="BY39" i="203" s="1"/>
  <c r="BJ32" i="203"/>
  <c r="BY32" i="203" s="1"/>
  <c r="BJ29" i="203"/>
  <c r="BY29" i="203" s="1"/>
  <c r="BJ16" i="203"/>
  <c r="BY16" i="203" s="1"/>
  <c r="BJ31" i="203"/>
  <c r="BY31" i="203" s="1"/>
  <c r="BJ48" i="203"/>
  <c r="BY48" i="203" s="1"/>
  <c r="BJ20" i="203"/>
  <c r="BY20" i="203" s="1"/>
  <c r="BJ15" i="203"/>
  <c r="BY15" i="203" s="1"/>
  <c r="BJ45" i="203"/>
  <c r="BY45" i="203" s="1"/>
  <c r="BJ34" i="203"/>
  <c r="BY34" i="203" s="1"/>
  <c r="BJ51" i="203"/>
  <c r="BY51" i="203" s="1"/>
  <c r="BJ44" i="203"/>
  <c r="BY44" i="203" s="1"/>
  <c r="BJ27" i="203"/>
  <c r="BY27" i="203" s="1"/>
  <c r="BJ26" i="203"/>
  <c r="BY26" i="203" s="1"/>
  <c r="BJ33" i="203"/>
  <c r="BY33" i="203" s="1"/>
  <c r="BJ50" i="203"/>
  <c r="BY50" i="203" s="1"/>
  <c r="BJ40" i="203"/>
  <c r="BY40" i="203" s="1"/>
  <c r="BJ23" i="203"/>
  <c r="BY23" i="203" s="1"/>
  <c r="BJ22" i="203"/>
  <c r="BY22" i="203" s="1"/>
  <c r="BJ25" i="203"/>
  <c r="BY25" i="203" s="1"/>
  <c r="BJ49" i="203"/>
  <c r="BY49" i="203" s="1"/>
  <c r="BJ36" i="203"/>
  <c r="BY36" i="203" s="1"/>
  <c r="BJ18" i="203"/>
  <c r="BY18" i="203" s="1"/>
  <c r="AP40" i="203"/>
  <c r="BR40" i="203" s="1"/>
  <c r="AP28" i="203"/>
  <c r="BR28" i="203" s="1"/>
  <c r="AP27" i="203"/>
  <c r="BR27" i="203" s="1"/>
  <c r="AP41" i="203"/>
  <c r="BR41" i="203" s="1"/>
  <c r="AP48" i="203"/>
  <c r="BR48" i="203" s="1"/>
  <c r="BF6" i="203"/>
  <c r="BW15" i="203"/>
  <c r="BV15" i="203"/>
  <c r="BB6" i="203"/>
  <c r="AO35" i="203"/>
  <c r="AO21" i="203"/>
  <c r="AN35" i="203"/>
  <c r="BN6" i="203" l="1"/>
  <c r="AP21" i="203"/>
  <c r="BR21" i="203" s="1"/>
  <c r="AP35" i="203"/>
  <c r="BJ6" i="203"/>
  <c r="AQ6" i="203"/>
  <c r="AT7" i="203"/>
  <c r="AT5" i="203"/>
  <c r="AQ7" i="203"/>
  <c r="AQ5" i="203"/>
  <c r="AT6" i="203"/>
  <c r="AQ32" i="203" l="1"/>
  <c r="AS32" i="203" s="1"/>
  <c r="AQ31" i="203"/>
  <c r="AS31" i="203" s="1"/>
  <c r="AU84" i="203"/>
  <c r="AR28" i="203"/>
  <c r="AR51" i="203"/>
  <c r="AR27" i="203"/>
  <c r="AR37" i="203"/>
  <c r="AQ28" i="203"/>
  <c r="AS28" i="203" s="1"/>
  <c r="AQ20" i="203"/>
  <c r="AS20" i="203" s="1"/>
  <c r="AU83" i="203"/>
  <c r="AQ24" i="203"/>
  <c r="AS24" i="203" s="1"/>
  <c r="AQ41" i="203"/>
  <c r="AS41" i="203" s="1"/>
  <c r="AQ27" i="203"/>
  <c r="AS27" i="203" s="1"/>
  <c r="AQ29" i="203"/>
  <c r="AS29" i="203" s="1"/>
  <c r="AQ50" i="203"/>
  <c r="AS50" i="203" s="1"/>
  <c r="AR15" i="203"/>
  <c r="AR38" i="203"/>
  <c r="AR49" i="203"/>
  <c r="AR18" i="203"/>
  <c r="AQ33" i="203"/>
  <c r="AS33" i="203" s="1"/>
  <c r="AR30" i="203"/>
  <c r="AU80" i="203"/>
  <c r="AR52" i="203"/>
  <c r="AQ34" i="203"/>
  <c r="AS34" i="203" s="1"/>
  <c r="AR39" i="203"/>
  <c r="AQ26" i="203"/>
  <c r="AS26" i="203" s="1"/>
  <c r="AR19" i="203"/>
  <c r="AQ48" i="203"/>
  <c r="AS48" i="203" s="1"/>
  <c r="AR26" i="203"/>
  <c r="AR29" i="203"/>
  <c r="AR20" i="203"/>
  <c r="AR33" i="203"/>
  <c r="AQ51" i="203"/>
  <c r="AS51" i="203" s="1"/>
  <c r="AQ21" i="203"/>
  <c r="AS21" i="203" s="1"/>
  <c r="AR40" i="203"/>
  <c r="AR21" i="203"/>
  <c r="AQ39" i="203"/>
  <c r="AS39" i="203" s="1"/>
  <c r="AQ17" i="203"/>
  <c r="AS17" i="203" s="1"/>
  <c r="AQ38" i="203"/>
  <c r="AS38" i="203" s="1"/>
  <c r="AU87" i="203"/>
  <c r="AR46" i="203"/>
  <c r="AQ19" i="203"/>
  <c r="AS19" i="203" s="1"/>
  <c r="AQ42" i="203"/>
  <c r="AS42" i="203" s="1"/>
  <c r="AR43" i="203"/>
  <c r="AQ30" i="203"/>
  <c r="AS30" i="203" s="1"/>
  <c r="AR41" i="203"/>
  <c r="AR50" i="203"/>
  <c r="AR23" i="203"/>
  <c r="AR31" i="203"/>
  <c r="AR48" i="203"/>
  <c r="AR16" i="203"/>
  <c r="AU86" i="203"/>
  <c r="AR22" i="203"/>
  <c r="AQ18" i="203"/>
  <c r="AS18" i="203" s="1"/>
  <c r="AR44" i="203"/>
  <c r="AQ46" i="203"/>
  <c r="AS46" i="203" s="1"/>
  <c r="AR42" i="203"/>
  <c r="AQ49" i="203"/>
  <c r="AS49" i="203" s="1"/>
  <c r="AQ15" i="203"/>
  <c r="AS15" i="203" s="1"/>
  <c r="AR32" i="203"/>
  <c r="AQ47" i="203"/>
  <c r="AS47" i="203" s="1"/>
  <c r="AQ25" i="203"/>
  <c r="AS25" i="203" s="1"/>
  <c r="AQ36" i="203"/>
  <c r="AS36" i="203" s="1"/>
  <c r="AQ52" i="203"/>
  <c r="AS52" i="203" s="1"/>
  <c r="AR17" i="203"/>
  <c r="AR45" i="203"/>
  <c r="AU81" i="203"/>
  <c r="AR24" i="203"/>
  <c r="AQ43" i="203"/>
  <c r="AS43" i="203" s="1"/>
  <c r="AQ22" i="203"/>
  <c r="AS22" i="203" s="1"/>
  <c r="AR34" i="203"/>
  <c r="AQ35" i="203"/>
  <c r="AS35" i="203" s="1"/>
  <c r="AQ16" i="203"/>
  <c r="AS16" i="203" s="1"/>
  <c r="AQ40" i="203"/>
  <c r="AS40" i="203" s="1"/>
  <c r="AQ45" i="203"/>
  <c r="AS45" i="203" s="1"/>
  <c r="AU85" i="203"/>
  <c r="AU82" i="203"/>
  <c r="AQ44" i="203"/>
  <c r="AS44" i="203" s="1"/>
  <c r="AR47" i="203"/>
  <c r="AR35" i="203"/>
  <c r="AQ37" i="203"/>
  <c r="AS37" i="203" s="1"/>
  <c r="AQ23" i="203"/>
  <c r="AS23" i="203" s="1"/>
  <c r="AR36" i="203"/>
  <c r="AR25" i="203"/>
  <c r="AU47" i="203"/>
  <c r="AW47" i="203" s="1"/>
  <c r="BX47" i="203" s="1"/>
  <c r="AV19" i="203"/>
  <c r="AV43" i="203"/>
  <c r="AV50" i="203"/>
  <c r="AV25" i="203"/>
  <c r="AU48" i="203"/>
  <c r="AW48" i="203" s="1"/>
  <c r="BX48" i="203" s="1"/>
  <c r="AV52" i="203"/>
  <c r="AU22" i="203"/>
  <c r="AW22" i="203" s="1"/>
  <c r="BX22" i="203" s="1"/>
  <c r="AV33" i="203"/>
  <c r="AU24" i="203"/>
  <c r="AW24" i="203" s="1"/>
  <c r="BX24" i="203" s="1"/>
  <c r="AU44" i="203"/>
  <c r="AW44" i="203" s="1"/>
  <c r="BX44" i="203" s="1"/>
  <c r="AV49" i="203"/>
  <c r="AU28" i="203"/>
  <c r="AW28" i="203" s="1"/>
  <c r="BX28" i="203" s="1"/>
  <c r="AV44" i="203"/>
  <c r="AT83" i="203"/>
  <c r="AU16" i="203"/>
  <c r="AW16" i="203" s="1"/>
  <c r="BX16" i="203" s="1"/>
  <c r="AU41" i="203"/>
  <c r="AW41" i="203" s="1"/>
  <c r="BX41" i="203" s="1"/>
  <c r="AT85" i="203"/>
  <c r="AV24" i="203"/>
  <c r="AT82" i="203"/>
  <c r="AU50" i="203"/>
  <c r="AW50" i="203" s="1"/>
  <c r="BX50" i="203" s="1"/>
  <c r="AU21" i="203"/>
  <c r="AW21" i="203" s="1"/>
  <c r="BX21" i="203" s="1"/>
  <c r="AV41" i="203"/>
  <c r="AV18" i="203"/>
  <c r="AV22" i="203"/>
  <c r="AV46" i="203"/>
  <c r="AV15" i="203"/>
  <c r="AT87" i="203"/>
  <c r="AU37" i="203"/>
  <c r="AW37" i="203" s="1"/>
  <c r="BX37" i="203" s="1"/>
  <c r="AU23" i="203"/>
  <c r="AW23" i="203" s="1"/>
  <c r="BX23" i="203" s="1"/>
  <c r="AU39" i="203"/>
  <c r="AW39" i="203" s="1"/>
  <c r="BX39" i="203" s="1"/>
  <c r="AV51" i="203"/>
  <c r="AV20" i="203"/>
  <c r="AV38" i="203"/>
  <c r="AU30" i="203"/>
  <c r="AW30" i="203" s="1"/>
  <c r="BX30" i="203" s="1"/>
  <c r="AU29" i="203"/>
  <c r="AW29" i="203" s="1"/>
  <c r="BX29" i="203" s="1"/>
  <c r="AU45" i="203"/>
  <c r="AW45" i="203" s="1"/>
  <c r="BX45" i="203" s="1"/>
  <c r="AV35" i="203"/>
  <c r="AV36" i="203"/>
  <c r="AT86" i="203"/>
  <c r="AU18" i="203"/>
  <c r="AW18" i="203" s="1"/>
  <c r="BX18" i="203" s="1"/>
  <c r="AV30" i="203"/>
  <c r="AT80" i="203"/>
  <c r="AU38" i="203"/>
  <c r="AW38" i="203" s="1"/>
  <c r="BX38" i="203" s="1"/>
  <c r="AV32" i="203"/>
  <c r="AU34" i="203"/>
  <c r="AW34" i="203" s="1"/>
  <c r="BX34" i="203" s="1"/>
  <c r="AV47" i="203"/>
  <c r="AU17" i="203"/>
  <c r="AW17" i="203" s="1"/>
  <c r="BX17" i="203" s="1"/>
  <c r="AU33" i="203"/>
  <c r="AW33" i="203" s="1"/>
  <c r="BX33" i="203" s="1"/>
  <c r="AV28" i="203"/>
  <c r="AV21" i="203"/>
  <c r="AU43" i="203"/>
  <c r="AW43" i="203" s="1"/>
  <c r="BX43" i="203" s="1"/>
  <c r="AV29" i="203"/>
  <c r="AV23" i="203"/>
  <c r="AU32" i="203"/>
  <c r="AW32" i="203" s="1"/>
  <c r="BX32" i="203" s="1"/>
  <c r="AT81" i="203"/>
  <c r="AV48" i="203"/>
  <c r="AU25" i="203"/>
  <c r="AW25" i="203" s="1"/>
  <c r="BX25" i="203" s="1"/>
  <c r="AV39" i="203"/>
  <c r="AU49" i="203"/>
  <c r="AW49" i="203" s="1"/>
  <c r="BX49" i="203" s="1"/>
  <c r="AU15" i="203"/>
  <c r="AW15" i="203" s="1"/>
  <c r="BX15" i="203" s="1"/>
  <c r="AV31" i="203"/>
  <c r="AU51" i="203"/>
  <c r="AW51" i="203" s="1"/>
  <c r="BX51" i="203" s="1"/>
  <c r="AU31" i="203"/>
  <c r="AW31" i="203" s="1"/>
  <c r="BX31" i="203" s="1"/>
  <c r="AU42" i="203"/>
  <c r="AW42" i="203" s="1"/>
  <c r="BX42" i="203" s="1"/>
  <c r="AV26" i="203"/>
  <c r="AV37" i="203"/>
  <c r="AU36" i="203"/>
  <c r="AW36" i="203" s="1"/>
  <c r="BX36" i="203" s="1"/>
  <c r="AV40" i="203"/>
  <c r="AV45" i="203"/>
  <c r="AV16" i="203"/>
  <c r="AV27" i="203"/>
  <c r="AU46" i="203"/>
  <c r="AW46" i="203" s="1"/>
  <c r="BX46" i="203" s="1"/>
  <c r="AU19" i="203"/>
  <c r="AW19" i="203" s="1"/>
  <c r="BX19" i="203" s="1"/>
  <c r="AU35" i="203"/>
  <c r="AW35" i="203" s="1"/>
  <c r="BX35" i="203" s="1"/>
  <c r="AV34" i="203"/>
  <c r="AU40" i="203"/>
  <c r="AW40" i="203" s="1"/>
  <c r="BX40" i="203" s="1"/>
  <c r="AU26" i="203"/>
  <c r="AW26" i="203" s="1"/>
  <c r="BX26" i="203" s="1"/>
  <c r="AV17" i="203"/>
  <c r="AU27" i="203"/>
  <c r="AW27" i="203" s="1"/>
  <c r="BX27" i="203" s="1"/>
  <c r="AU20" i="203"/>
  <c r="AW20" i="203" s="1"/>
  <c r="BX20" i="203" s="1"/>
  <c r="AT84" i="203"/>
  <c r="AV42" i="203"/>
  <c r="AU52" i="203"/>
  <c r="AW52" i="203" s="1"/>
  <c r="BX52" i="203" s="1"/>
  <c r="BR35" i="203"/>
  <c r="AW6" i="203" l="1"/>
  <c r="AS6" i="203"/>
  <c r="C29" i="189"/>
  <c r="D55" i="147" l="1"/>
  <c r="O11" i="189" l="1"/>
  <c r="C25" i="189" l="1"/>
  <c r="C24" i="189"/>
  <c r="C6" i="189" l="1"/>
  <c r="G51" i="189" l="1"/>
  <c r="G30" i="189"/>
  <c r="G16" i="189" l="1"/>
  <c r="G17" i="189" s="1"/>
  <c r="G18" i="189" s="1"/>
  <c r="G19" i="189" s="1"/>
  <c r="G20" i="189" s="1"/>
  <c r="G22" i="189" s="1"/>
  <c r="G23" i="189" s="1"/>
  <c r="G24" i="189" s="1"/>
  <c r="G25" i="189" s="1"/>
  <c r="G26" i="189" s="1"/>
  <c r="G27" i="189" s="1"/>
  <c r="G28" i="189" s="1"/>
  <c r="G29" i="189" s="1"/>
  <c r="G21" i="189"/>
  <c r="G31" i="189" l="1"/>
  <c r="G32" i="189" s="1"/>
  <c r="G33" i="189" s="1"/>
  <c r="G34" i="189" s="1"/>
  <c r="G35" i="189" s="1"/>
  <c r="G36" i="189" s="1"/>
  <c r="G37" i="189" s="1"/>
  <c r="G38" i="189" s="1"/>
  <c r="G39" i="189" s="1"/>
  <c r="G40" i="189" s="1"/>
  <c r="G41" i="189" s="1"/>
  <c r="G42" i="189" s="1"/>
  <c r="G43" i="189" s="1"/>
  <c r="G44" i="189" s="1"/>
  <c r="G45" i="189" s="1"/>
  <c r="G46" i="189" s="1"/>
  <c r="G47" i="189" s="1"/>
  <c r="G48" i="189" s="1"/>
  <c r="G49" i="189" s="1"/>
  <c r="G50" i="189" s="1"/>
  <c r="G52" i="189" s="1"/>
  <c r="G53" i="189" s="1"/>
  <c r="G54" i="189" s="1"/>
  <c r="G55" i="189" s="1"/>
  <c r="G56" i="189" s="1"/>
  <c r="G57" i="189" s="1"/>
  <c r="G58" i="189" s="1"/>
  <c r="G59" i="189" s="1"/>
  <c r="G60" i="189" s="1"/>
  <c r="G61" i="189" s="1"/>
  <c r="G62" i="189" s="1"/>
  <c r="G63" i="189" s="1"/>
  <c r="G64" i="189" s="1"/>
  <c r="G65" i="189" s="1"/>
  <c r="G66" i="189" s="1"/>
  <c r="G67" i="189" s="1"/>
  <c r="G68" i="189" s="1"/>
  <c r="G69" i="189" s="1"/>
  <c r="G70" i="189" s="1"/>
  <c r="G71" i="189" s="1"/>
  <c r="G72" i="189" s="1"/>
  <c r="G73" i="189" s="1"/>
  <c r="G74" i="189" s="1"/>
  <c r="G75" i="189" s="1"/>
  <c r="G76" i="189" s="1"/>
  <c r="G77" i="189" s="1"/>
  <c r="G78" i="189" s="1"/>
  <c r="G79" i="189" s="1"/>
  <c r="G80" i="189" s="1"/>
  <c r="G81" i="189" s="1"/>
  <c r="G82" i="189" s="1"/>
  <c r="G83" i="189" s="1"/>
  <c r="G84" i="189" s="1"/>
  <c r="G85" i="189" s="1"/>
  <c r="G86" i="189" s="1"/>
  <c r="G87" i="189" s="1"/>
  <c r="G88" i="189" s="1"/>
  <c r="G89" i="189" s="1"/>
  <c r="G90" i="189" s="1"/>
  <c r="G91" i="189" s="1"/>
  <c r="G92" i="189" s="1"/>
  <c r="G93" i="189" s="1"/>
  <c r="G94" i="189" s="1"/>
  <c r="G95" i="189" s="1"/>
  <c r="G96" i="189" s="1"/>
  <c r="G97" i="189" s="1"/>
  <c r="G98" i="189" s="1"/>
  <c r="G99" i="189" s="1"/>
  <c r="G100" i="189" s="1"/>
  <c r="G101" i="189" s="1"/>
  <c r="G102" i="189" s="1"/>
  <c r="G103" i="189" s="1"/>
  <c r="G104" i="189" s="1"/>
  <c r="R11" i="189"/>
  <c r="C34" i="189" l="1"/>
  <c r="C33" i="189"/>
  <c r="D21" i="189"/>
  <c r="D20" i="189"/>
  <c r="C15" i="189"/>
  <c r="C14" i="189"/>
  <c r="C13" i="189"/>
  <c r="C12" i="189"/>
  <c r="U11" i="189"/>
  <c r="L11" i="189"/>
  <c r="I11" i="189"/>
  <c r="B2" i="189"/>
  <c r="R35" i="189"/>
  <c r="L42" i="189"/>
  <c r="L74" i="189"/>
  <c r="R23" i="189"/>
  <c r="O52" i="189"/>
  <c r="L54" i="189"/>
  <c r="R80" i="189"/>
  <c r="U26" i="189"/>
  <c r="U64" i="189"/>
  <c r="U72" i="189"/>
  <c r="R64" i="189"/>
  <c r="L58" i="189"/>
  <c r="O32" i="189"/>
  <c r="R77" i="189"/>
  <c r="R97" i="189"/>
  <c r="O104" i="189"/>
  <c r="C7" i="189"/>
  <c r="U38" i="189"/>
  <c r="L28" i="189"/>
  <c r="U96" i="189"/>
  <c r="O25" i="189"/>
  <c r="U92" i="189"/>
  <c r="L90" i="189"/>
  <c r="O73" i="189"/>
  <c r="R94" i="189"/>
  <c r="U77" i="189"/>
  <c r="U73" i="189"/>
  <c r="U86" i="189"/>
  <c r="U17" i="189"/>
  <c r="R68" i="189"/>
  <c r="R92" i="189"/>
  <c r="O36" i="189"/>
  <c r="R34" i="189"/>
  <c r="O59" i="189"/>
  <c r="U68" i="189"/>
  <c r="L19" i="189"/>
  <c r="O18" i="189"/>
  <c r="O57" i="189"/>
  <c r="R22" i="189"/>
  <c r="L44" i="189"/>
  <c r="U71" i="189"/>
  <c r="O65" i="189"/>
  <c r="L18" i="189"/>
  <c r="O31" i="189"/>
  <c r="R15" i="189"/>
  <c r="L43" i="189"/>
  <c r="R24" i="189"/>
  <c r="L78" i="189"/>
  <c r="O64" i="189"/>
  <c r="U60" i="189"/>
  <c r="I103" i="189"/>
  <c r="O76" i="189"/>
  <c r="R55" i="189"/>
  <c r="L72" i="189"/>
  <c r="O68" i="189"/>
  <c r="U91" i="189"/>
  <c r="U18" i="189"/>
  <c r="U93" i="189"/>
  <c r="R49" i="189"/>
  <c r="R50" i="189"/>
  <c r="R95" i="189"/>
  <c r="L87" i="189"/>
  <c r="U62" i="189"/>
  <c r="O40" i="189"/>
  <c r="O37" i="189"/>
  <c r="U27" i="189"/>
  <c r="O49" i="189"/>
  <c r="O42" i="189"/>
  <c r="L20" i="189"/>
  <c r="U55" i="189"/>
  <c r="O34" i="189"/>
  <c r="L61" i="189"/>
  <c r="O48" i="189"/>
  <c r="L67" i="189"/>
  <c r="R72" i="189"/>
  <c r="L96" i="189"/>
  <c r="R46" i="189"/>
  <c r="L73" i="189"/>
  <c r="U59" i="189"/>
  <c r="L65" i="189"/>
  <c r="R78" i="189"/>
  <c r="O102" i="189"/>
  <c r="R54" i="189"/>
  <c r="R37" i="189"/>
  <c r="O29" i="189"/>
  <c r="I28" i="189"/>
  <c r="L104" i="189"/>
  <c r="O53" i="189"/>
  <c r="R25" i="189"/>
  <c r="R76" i="189"/>
  <c r="R16" i="189"/>
  <c r="O99" i="189"/>
  <c r="O62" i="189"/>
  <c r="O38" i="189"/>
  <c r="U54" i="189"/>
  <c r="O82" i="189"/>
  <c r="U74" i="189"/>
  <c r="O86" i="189"/>
  <c r="U28" i="189"/>
  <c r="O54" i="189"/>
  <c r="O81" i="189"/>
  <c r="O47" i="189"/>
  <c r="R98" i="189"/>
  <c r="I82" i="189"/>
  <c r="U23" i="189"/>
  <c r="O58" i="189"/>
  <c r="O89" i="189"/>
  <c r="I34" i="189"/>
  <c r="U75" i="189"/>
  <c r="U40" i="189"/>
  <c r="R43" i="189"/>
  <c r="L76" i="189"/>
  <c r="L103" i="189"/>
  <c r="O15" i="189"/>
  <c r="R56" i="189"/>
  <c r="R82" i="189"/>
  <c r="U39" i="189"/>
  <c r="L85" i="189"/>
  <c r="U82" i="189"/>
  <c r="R53" i="189"/>
  <c r="R65" i="189"/>
  <c r="O60" i="189"/>
  <c r="O69" i="189"/>
  <c r="R19" i="189"/>
  <c r="O35" i="189"/>
  <c r="O77" i="189"/>
  <c r="U25" i="189"/>
  <c r="O75" i="189"/>
  <c r="I72" i="189"/>
  <c r="U102" i="189"/>
  <c r="R89" i="189"/>
  <c r="I66" i="189"/>
  <c r="O79" i="189"/>
  <c r="R75" i="189"/>
  <c r="R31" i="189"/>
  <c r="U79" i="189"/>
  <c r="R87" i="189"/>
  <c r="I100" i="189"/>
  <c r="L48" i="189"/>
  <c r="O55" i="189"/>
  <c r="R38" i="189"/>
  <c r="L81" i="189"/>
  <c r="O84" i="189"/>
  <c r="R45" i="189"/>
  <c r="R101" i="189"/>
  <c r="R71" i="189"/>
  <c r="O27" i="189"/>
  <c r="R62" i="189"/>
  <c r="L55" i="189"/>
  <c r="O72" i="189"/>
  <c r="O66" i="189"/>
  <c r="O87" i="189"/>
  <c r="R32" i="189"/>
  <c r="O43" i="189"/>
  <c r="L25" i="189"/>
  <c r="R29" i="189"/>
  <c r="R74" i="189"/>
  <c r="R67" i="189"/>
  <c r="U101" i="189"/>
  <c r="U70" i="189"/>
  <c r="R26" i="189"/>
  <c r="R79" i="189"/>
  <c r="O24" i="189"/>
  <c r="L62" i="189"/>
  <c r="R17" i="189"/>
  <c r="R83" i="189"/>
  <c r="U84" i="189"/>
  <c r="O28" i="189"/>
  <c r="R104" i="189"/>
  <c r="L22" i="189"/>
  <c r="U104" i="189"/>
  <c r="R28" i="189"/>
  <c r="O97" i="189"/>
  <c r="U41" i="189"/>
  <c r="O16" i="189"/>
  <c r="O78" i="189"/>
  <c r="U61" i="189"/>
  <c r="R47" i="189"/>
  <c r="U67" i="189"/>
  <c r="R61" i="189"/>
  <c r="L84" i="189"/>
  <c r="I79" i="189"/>
  <c r="R84" i="189"/>
  <c r="U35" i="189"/>
  <c r="L80" i="189"/>
  <c r="O96" i="189"/>
  <c r="R60" i="189"/>
  <c r="R86" i="189"/>
  <c r="U29" i="189"/>
  <c r="O46" i="189"/>
  <c r="U44" i="189"/>
  <c r="U66" i="189"/>
  <c r="O26" i="189"/>
  <c r="L66" i="189"/>
  <c r="R40" i="189"/>
  <c r="U90" i="189"/>
  <c r="U53" i="189"/>
  <c r="R96" i="189"/>
  <c r="U15" i="189"/>
  <c r="O50" i="189"/>
  <c r="O56" i="189"/>
  <c r="L31" i="189"/>
  <c r="R48" i="189"/>
  <c r="R33" i="189"/>
  <c r="O93" i="189"/>
  <c r="R39" i="189"/>
  <c r="R52" i="189"/>
  <c r="U57" i="189"/>
  <c r="R103" i="189"/>
  <c r="L70" i="189"/>
  <c r="O80" i="189"/>
  <c r="O103" i="189"/>
  <c r="U83" i="189"/>
  <c r="O91" i="189"/>
  <c r="D7" i="189"/>
  <c r="U36" i="189"/>
  <c r="L92" i="189"/>
  <c r="U42" i="189"/>
  <c r="U33" i="189"/>
  <c r="L33" i="189"/>
  <c r="O90" i="189"/>
  <c r="O33" i="189"/>
  <c r="O92" i="189"/>
  <c r="I56" i="189"/>
  <c r="R91" i="189"/>
  <c r="O83" i="189"/>
  <c r="O100" i="189"/>
  <c r="R57" i="189"/>
  <c r="O45" i="189"/>
  <c r="O95" i="189"/>
  <c r="U95" i="189"/>
  <c r="U81" i="189"/>
  <c r="O85" i="189"/>
  <c r="U16" i="189"/>
  <c r="U22" i="189"/>
  <c r="U56" i="189"/>
  <c r="R88" i="189"/>
  <c r="R69" i="189"/>
  <c r="L34" i="189"/>
  <c r="R42" i="189"/>
  <c r="R58" i="189"/>
  <c r="O19" i="189"/>
  <c r="R100" i="189"/>
  <c r="U99" i="189"/>
  <c r="O63" i="189"/>
  <c r="O101" i="189"/>
  <c r="L71" i="189"/>
  <c r="L88" i="189"/>
  <c r="U103" i="189"/>
  <c r="O94" i="189"/>
  <c r="R93" i="189"/>
  <c r="O23" i="189"/>
  <c r="O39" i="189"/>
  <c r="R73" i="189"/>
  <c r="R36" i="189"/>
  <c r="L36" i="189"/>
  <c r="U97" i="189"/>
  <c r="R99" i="189"/>
  <c r="O61" i="189"/>
  <c r="O17" i="189"/>
  <c r="U58" i="189"/>
  <c r="R18" i="189"/>
  <c r="L77" i="189"/>
  <c r="R85" i="189"/>
  <c r="L49" i="189"/>
  <c r="U45" i="189"/>
  <c r="L37" i="189"/>
  <c r="U46" i="189"/>
  <c r="O88" i="189"/>
  <c r="L98" i="189"/>
  <c r="D40" i="189"/>
  <c r="L57" i="189"/>
  <c r="U32" i="189"/>
  <c r="L45" i="189"/>
  <c r="U49" i="189"/>
  <c r="L82" i="189"/>
  <c r="R81" i="189"/>
  <c r="O44" i="189"/>
  <c r="U65" i="189"/>
  <c r="O74" i="189"/>
  <c r="U78" i="189"/>
  <c r="R59" i="189"/>
  <c r="U31" i="189"/>
  <c r="R44" i="189"/>
  <c r="O67" i="189"/>
  <c r="O41" i="189"/>
  <c r="R70" i="189"/>
  <c r="O71" i="189"/>
  <c r="R63" i="189"/>
  <c r="U76" i="189"/>
  <c r="L24" i="189"/>
  <c r="R41" i="189"/>
  <c r="R27" i="189"/>
  <c r="O20" i="189"/>
  <c r="O98" i="189"/>
  <c r="U80" i="189"/>
  <c r="R90" i="189"/>
  <c r="L41" i="189"/>
  <c r="R102" i="189"/>
  <c r="O22" i="189"/>
  <c r="U34" i="189"/>
  <c r="R20" i="189"/>
  <c r="U37" i="189"/>
  <c r="O70" i="189"/>
  <c r="U98" i="189"/>
  <c r="R66" i="189"/>
  <c r="M3" i="189" l="1"/>
  <c r="P27" i="189"/>
  <c r="P25" i="189"/>
  <c r="U43" i="189"/>
  <c r="L64" i="189"/>
  <c r="V26" i="189"/>
  <c r="I61" i="189"/>
  <c r="P80" i="189"/>
  <c r="I60" i="189"/>
  <c r="P24" i="189"/>
  <c r="L50" i="189"/>
  <c r="V81" i="189"/>
  <c r="V17" i="189"/>
  <c r="M33" i="189"/>
  <c r="S26" i="189"/>
  <c r="V103" i="189"/>
  <c r="P91" i="189"/>
  <c r="M36" i="189"/>
  <c r="V32" i="189"/>
  <c r="P16" i="189"/>
  <c r="V36" i="189"/>
  <c r="P37" i="189"/>
  <c r="I87" i="189"/>
  <c r="S61" i="189"/>
  <c r="V28" i="189"/>
  <c r="S40" i="189"/>
  <c r="I77" i="189"/>
  <c r="P71" i="189"/>
  <c r="S29" i="189"/>
  <c r="V29" i="189"/>
  <c r="L91" i="189"/>
  <c r="S60" i="189"/>
  <c r="U94" i="189"/>
  <c r="I23" i="189"/>
  <c r="M58" i="189"/>
  <c r="M42" i="189"/>
  <c r="J100" i="189"/>
  <c r="L100" i="189"/>
  <c r="V84" i="189"/>
  <c r="P29" i="189"/>
  <c r="M55" i="189"/>
  <c r="V45" i="189"/>
  <c r="P19" i="189"/>
  <c r="U20" i="189"/>
  <c r="L94" i="189"/>
  <c r="V98" i="189"/>
  <c r="V90" i="189"/>
  <c r="I18" i="189"/>
  <c r="S79" i="189"/>
  <c r="L35" i="189"/>
  <c r="V62" i="189"/>
  <c r="P58" i="189"/>
  <c r="M49" i="189"/>
  <c r="S77" i="189"/>
  <c r="V64" i="189"/>
  <c r="S96" i="189"/>
  <c r="P15" i="189"/>
  <c r="V102" i="189"/>
  <c r="S37" i="189"/>
  <c r="I20" i="189"/>
  <c r="P60" i="189"/>
  <c r="L102" i="189"/>
  <c r="I22" i="189"/>
  <c r="P45" i="189"/>
  <c r="S69" i="189"/>
  <c r="S33" i="189"/>
  <c r="V101" i="189"/>
  <c r="U69" i="189"/>
  <c r="U63" i="189"/>
  <c r="S35" i="189"/>
  <c r="I38" i="189"/>
  <c r="U52" i="189"/>
  <c r="P78" i="189"/>
  <c r="P59" i="189"/>
  <c r="S28" i="189"/>
  <c r="P69" i="189"/>
  <c r="L75" i="189"/>
  <c r="V60" i="189"/>
  <c r="I96" i="189"/>
  <c r="P92" i="189"/>
  <c r="V79" i="189"/>
  <c r="L40" i="189"/>
  <c r="M40" i="189" s="1"/>
  <c r="I93" i="189"/>
  <c r="M87" i="189"/>
  <c r="J103" i="189"/>
  <c r="S36" i="189"/>
  <c r="S84" i="189"/>
  <c r="S65" i="189"/>
  <c r="P90" i="189"/>
  <c r="I36" i="189"/>
  <c r="V49" i="189"/>
  <c r="P49" i="189"/>
  <c r="I47" i="189"/>
  <c r="V71" i="189"/>
  <c r="J72" i="189"/>
  <c r="M76" i="189"/>
  <c r="J23" i="189"/>
  <c r="P74" i="189"/>
  <c r="M24" i="189"/>
  <c r="S99" i="189"/>
  <c r="P39" i="189"/>
  <c r="I44" i="189"/>
  <c r="J44" i="189" s="1"/>
  <c r="I50" i="189"/>
  <c r="V86" i="189"/>
  <c r="S68" i="189"/>
  <c r="L68" i="189"/>
  <c r="M68" i="189" s="1"/>
  <c r="V37" i="189"/>
  <c r="V74" i="189"/>
  <c r="P53" i="189"/>
  <c r="L17" i="189"/>
  <c r="S72" i="189"/>
  <c r="L23" i="189"/>
  <c r="J96" i="189"/>
  <c r="L46" i="189"/>
  <c r="V63" i="189"/>
  <c r="M75" i="189"/>
  <c r="J20" i="189"/>
  <c r="P79" i="189"/>
  <c r="I78" i="189"/>
  <c r="P75" i="189"/>
  <c r="S49" i="189"/>
  <c r="I35" i="189"/>
  <c r="J35" i="189" s="1"/>
  <c r="I43" i="189"/>
  <c r="P99" i="189"/>
  <c r="P32" i="189"/>
  <c r="M31" i="189"/>
  <c r="S80" i="189"/>
  <c r="I71" i="189"/>
  <c r="S74" i="189"/>
  <c r="S43" i="189"/>
  <c r="V82" i="189"/>
  <c r="L79" i="189"/>
  <c r="U19" i="189"/>
  <c r="I99" i="189"/>
  <c r="S90" i="189"/>
  <c r="S81" i="189"/>
  <c r="P70" i="189"/>
  <c r="I24" i="189"/>
  <c r="P17" i="189"/>
  <c r="S100" i="189"/>
  <c r="V39" i="189"/>
  <c r="L52" i="189"/>
  <c r="V27" i="189"/>
  <c r="P57" i="189"/>
  <c r="P46" i="189"/>
  <c r="J71" i="189"/>
  <c r="V31" i="189"/>
  <c r="S62" i="189"/>
  <c r="M28" i="189"/>
  <c r="V68" i="189"/>
  <c r="U48" i="189"/>
  <c r="M18" i="189"/>
  <c r="S55" i="189"/>
  <c r="P34" i="189"/>
  <c r="V19" i="189"/>
  <c r="V96" i="189"/>
  <c r="M82" i="189"/>
  <c r="M103" i="189"/>
  <c r="I46" i="189"/>
  <c r="P18" i="189"/>
  <c r="I55" i="189"/>
  <c r="U100" i="189"/>
  <c r="I31" i="189"/>
  <c r="P47" i="189"/>
  <c r="I81" i="189"/>
  <c r="J81" i="189" s="1"/>
  <c r="V99" i="189"/>
  <c r="V52" i="189"/>
  <c r="S87" i="189"/>
  <c r="S70" i="189"/>
  <c r="J66" i="189"/>
  <c r="M44" i="189"/>
  <c r="I62" i="189"/>
  <c r="P102" i="189"/>
  <c r="M74" i="189"/>
  <c r="J62" i="189"/>
  <c r="J61" i="189"/>
  <c r="M102" i="189"/>
  <c r="M64" i="189"/>
  <c r="M17" i="189"/>
  <c r="L89" i="189"/>
  <c r="M54" i="189"/>
  <c r="P20" i="189"/>
  <c r="I84" i="189"/>
  <c r="P64" i="189"/>
  <c r="P100" i="189"/>
  <c r="P82" i="189"/>
  <c r="V56" i="189"/>
  <c r="P33" i="189"/>
  <c r="P84" i="189"/>
  <c r="I102" i="189"/>
  <c r="J102" i="189" s="1"/>
  <c r="S42" i="189"/>
  <c r="L29" i="189"/>
  <c r="I16" i="189"/>
  <c r="P62" i="189"/>
  <c r="P55" i="189"/>
  <c r="S48" i="189"/>
  <c r="L53" i="189"/>
  <c r="I95" i="189"/>
  <c r="U47" i="189"/>
  <c r="V47" i="189" s="1"/>
  <c r="P38" i="189"/>
  <c r="S88" i="189"/>
  <c r="P98" i="189"/>
  <c r="M53" i="189"/>
  <c r="M100" i="189"/>
  <c r="P41" i="189"/>
  <c r="I88" i="189"/>
  <c r="J88" i="189" s="1"/>
  <c r="I83" i="189"/>
  <c r="J83" i="189" s="1"/>
  <c r="P61" i="189"/>
  <c r="I76" i="189"/>
  <c r="J76" i="189" s="1"/>
  <c r="V95" i="189"/>
  <c r="J82" i="189"/>
  <c r="P31" i="189"/>
  <c r="S91" i="189"/>
  <c r="M90" i="189"/>
  <c r="P48" i="189"/>
  <c r="L15" i="189"/>
  <c r="L26" i="189"/>
  <c r="V76" i="189"/>
  <c r="S102" i="189"/>
  <c r="I92" i="189"/>
  <c r="J92" i="189" s="1"/>
  <c r="S73" i="189"/>
  <c r="M37" i="189"/>
  <c r="M70" i="189"/>
  <c r="V22" i="189"/>
  <c r="I65" i="189"/>
  <c r="V83" i="189"/>
  <c r="S67" i="189"/>
  <c r="I40" i="189"/>
  <c r="J40" i="189" s="1"/>
  <c r="M81" i="189"/>
  <c r="P44" i="189"/>
  <c r="V15" i="189"/>
  <c r="P83" i="189"/>
  <c r="S41" i="189"/>
  <c r="P68" i="189"/>
  <c r="S59" i="189"/>
  <c r="S89" i="189"/>
  <c r="I80" i="189"/>
  <c r="P101" i="189"/>
  <c r="S64" i="189"/>
  <c r="M66" i="189"/>
  <c r="J24" i="189"/>
  <c r="J28" i="189"/>
  <c r="I64" i="189"/>
  <c r="I90" i="189"/>
  <c r="M45" i="189"/>
  <c r="P65" i="189"/>
  <c r="V69" i="189"/>
  <c r="L56" i="189"/>
  <c r="I54" i="189"/>
  <c r="J54" i="189" s="1"/>
  <c r="M91" i="189"/>
  <c r="J87" i="189"/>
  <c r="P76" i="189"/>
  <c r="L16" i="189"/>
  <c r="M16" i="189" s="1"/>
  <c r="V53" i="189"/>
  <c r="L60" i="189"/>
  <c r="M60" i="189" s="1"/>
  <c r="P93" i="189"/>
  <c r="S27" i="189"/>
  <c r="V23" i="189"/>
  <c r="M65" i="189"/>
  <c r="P97" i="189"/>
  <c r="P66" i="189"/>
  <c r="U87" i="189"/>
  <c r="V87" i="189" s="1"/>
  <c r="M67" i="189"/>
  <c r="S92" i="189"/>
  <c r="M57" i="189"/>
  <c r="S98" i="189"/>
  <c r="S66" i="189"/>
  <c r="S95" i="189"/>
  <c r="L47" i="189"/>
  <c r="M47" i="189" s="1"/>
  <c r="P22" i="189"/>
  <c r="V67" i="189"/>
  <c r="S19" i="189"/>
  <c r="V73" i="189"/>
  <c r="L27" i="189"/>
  <c r="M27" i="189" s="1"/>
  <c r="V92" i="189"/>
  <c r="S53" i="189"/>
  <c r="V61" i="189"/>
  <c r="P26" i="189"/>
  <c r="M88" i="189"/>
  <c r="S25" i="189"/>
  <c r="P88" i="189"/>
  <c r="I98" i="189"/>
  <c r="M50" i="189"/>
  <c r="P54" i="189"/>
  <c r="I75" i="189"/>
  <c r="M20" i="189"/>
  <c r="M25" i="189"/>
  <c r="V18" i="189"/>
  <c r="S57" i="189"/>
  <c r="P42" i="189"/>
  <c r="V48" i="189"/>
  <c r="I49" i="189"/>
  <c r="I27" i="189"/>
  <c r="J27" i="189" s="1"/>
  <c r="M71" i="189"/>
  <c r="S45" i="189"/>
  <c r="S58" i="189"/>
  <c r="L99" i="189"/>
  <c r="M99" i="189" s="1"/>
  <c r="S52" i="189"/>
  <c r="M19" i="189"/>
  <c r="I86" i="189"/>
  <c r="J22" i="189"/>
  <c r="M56" i="189"/>
  <c r="P89" i="189"/>
  <c r="P63" i="189"/>
  <c r="J50" i="189"/>
  <c r="S23" i="189"/>
  <c r="V70" i="189"/>
  <c r="I74" i="189"/>
  <c r="L38" i="189"/>
  <c r="M38" i="189" s="1"/>
  <c r="V42" i="189"/>
  <c r="V75" i="189"/>
  <c r="P85" i="189"/>
  <c r="I37" i="189"/>
  <c r="S46" i="189"/>
  <c r="P40" i="189"/>
  <c r="I94" i="189"/>
  <c r="S38" i="189"/>
  <c r="I48" i="189"/>
  <c r="J48" i="189" s="1"/>
  <c r="V44" i="189"/>
  <c r="S83" i="189"/>
  <c r="S75" i="189"/>
  <c r="M92" i="189"/>
  <c r="I17" i="189"/>
  <c r="M98" i="189"/>
  <c r="S103" i="189"/>
  <c r="V104" i="189"/>
  <c r="S63" i="189"/>
  <c r="M15" i="189"/>
  <c r="P77" i="189"/>
  <c r="I67" i="189"/>
  <c r="V77" i="189"/>
  <c r="M61" i="189"/>
  <c r="V55" i="189"/>
  <c r="L95" i="189"/>
  <c r="J34" i="189"/>
  <c r="P56" i="189"/>
  <c r="S71" i="189"/>
  <c r="S94" i="189"/>
  <c r="P94" i="189"/>
  <c r="V35" i="189"/>
  <c r="I41" i="189"/>
  <c r="S16" i="189"/>
  <c r="S24" i="189"/>
  <c r="S31" i="189"/>
  <c r="V97" i="189"/>
  <c r="U85" i="189"/>
  <c r="I91" i="189"/>
  <c r="J91" i="189" s="1"/>
  <c r="S101" i="189"/>
  <c r="I89" i="189"/>
  <c r="S22" i="189"/>
  <c r="J36" i="189"/>
  <c r="P73" i="189"/>
  <c r="S104" i="189"/>
  <c r="V72" i="189"/>
  <c r="J47" i="189"/>
  <c r="I25" i="189"/>
  <c r="J78" i="189"/>
  <c r="I59" i="189"/>
  <c r="M80" i="189"/>
  <c r="S44" i="189"/>
  <c r="U89" i="189"/>
  <c r="V89" i="189" s="1"/>
  <c r="P95" i="189"/>
  <c r="V46" i="189"/>
  <c r="J60" i="189"/>
  <c r="J65" i="189"/>
  <c r="J18" i="189"/>
  <c r="J43" i="189"/>
  <c r="J41" i="189"/>
  <c r="J93" i="189"/>
  <c r="S86" i="189"/>
  <c r="V91" i="189"/>
  <c r="M73" i="189"/>
  <c r="P86" i="189"/>
  <c r="I97" i="189"/>
  <c r="J97" i="189" s="1"/>
  <c r="P67" i="189"/>
  <c r="V66" i="189"/>
  <c r="S20" i="189"/>
  <c r="M72" i="189"/>
  <c r="V93" i="189"/>
  <c r="M104" i="189"/>
  <c r="S15" i="189"/>
  <c r="M46" i="189"/>
  <c r="M26" i="189"/>
  <c r="I39" i="189"/>
  <c r="J39" i="189" s="1"/>
  <c r="L86" i="189"/>
  <c r="M86" i="189" s="1"/>
  <c r="L32" i="189"/>
  <c r="V57" i="189"/>
  <c r="D41" i="189"/>
  <c r="D42" i="189" s="1"/>
  <c r="M32" i="189"/>
  <c r="V80" i="189"/>
  <c r="M85" i="189"/>
  <c r="P103" i="189"/>
  <c r="I57" i="189"/>
  <c r="J57" i="189" s="1"/>
  <c r="M78" i="189"/>
  <c r="M77" i="189"/>
  <c r="P96" i="189"/>
  <c r="J79" i="189"/>
  <c r="I33" i="189"/>
  <c r="P23" i="189"/>
  <c r="V16" i="189"/>
  <c r="I85" i="189"/>
  <c r="J85" i="189" s="1"/>
  <c r="P28" i="189"/>
  <c r="V58" i="189"/>
  <c r="M41" i="189"/>
  <c r="S82" i="189"/>
  <c r="S39" i="189"/>
  <c r="U88" i="189"/>
  <c r="V88" i="189" s="1"/>
  <c r="S85" i="189"/>
  <c r="I26" i="189"/>
  <c r="P50" i="189"/>
  <c r="J77" i="189"/>
  <c r="I63" i="189"/>
  <c r="L83" i="189"/>
  <c r="M83" i="189" s="1"/>
  <c r="S32" i="189"/>
  <c r="J74" i="189"/>
  <c r="I70" i="189"/>
  <c r="J70" i="189" s="1"/>
  <c r="V40" i="189"/>
  <c r="I69" i="189"/>
  <c r="L101" i="189"/>
  <c r="M101" i="189" s="1"/>
  <c r="V54" i="189"/>
  <c r="M96" i="189"/>
  <c r="P35" i="189"/>
  <c r="P52" i="189"/>
  <c r="J98" i="189"/>
  <c r="L63" i="189"/>
  <c r="M63" i="189" s="1"/>
  <c r="S54" i="189"/>
  <c r="I19" i="189"/>
  <c r="J19" i="189" s="1"/>
  <c r="U50" i="189"/>
  <c r="V50" i="189" s="1"/>
  <c r="I52" i="189"/>
  <c r="J52" i="189" s="1"/>
  <c r="P36" i="189"/>
  <c r="V78" i="189"/>
  <c r="U24" i="189"/>
  <c r="V24" i="189" s="1"/>
  <c r="S34" i="189"/>
  <c r="J33" i="189"/>
  <c r="M43" i="189"/>
  <c r="J25" i="189"/>
  <c r="P43" i="189"/>
  <c r="L39" i="189"/>
  <c r="V43" i="189"/>
  <c r="J75" i="189"/>
  <c r="S47" i="189"/>
  <c r="I29" i="189"/>
  <c r="J29" i="189" s="1"/>
  <c r="M52" i="189"/>
  <c r="J49" i="189"/>
  <c r="J46" i="189"/>
  <c r="J94" i="189"/>
  <c r="M23" i="189"/>
  <c r="J84" i="189"/>
  <c r="M79" i="189"/>
  <c r="V38" i="189"/>
  <c r="V65" i="189"/>
  <c r="M48" i="189"/>
  <c r="M84" i="189"/>
  <c r="S97" i="189"/>
  <c r="S17" i="189"/>
  <c r="I101" i="189"/>
  <c r="J101" i="189" s="1"/>
  <c r="P104" i="189"/>
  <c r="P72" i="189"/>
  <c r="M34" i="189"/>
  <c r="J56" i="189"/>
  <c r="V34" i="189"/>
  <c r="L97" i="189"/>
  <c r="M97" i="189" s="1"/>
  <c r="I73" i="189"/>
  <c r="J73" i="189" s="1"/>
  <c r="I104" i="189"/>
  <c r="J104" i="189" s="1"/>
  <c r="I58" i="189"/>
  <c r="J58" i="189" s="1"/>
  <c r="I32" i="189"/>
  <c r="J32" i="189" s="1"/>
  <c r="P87" i="189"/>
  <c r="S56" i="189"/>
  <c r="I15" i="189"/>
  <c r="J15" i="189" s="1"/>
  <c r="M62" i="189"/>
  <c r="V59" i="189"/>
  <c r="S78" i="189"/>
  <c r="I53" i="189"/>
  <c r="J53" i="189" s="1"/>
  <c r="S50" i="189"/>
  <c r="S93" i="189"/>
  <c r="I68" i="189"/>
  <c r="J68" i="189" s="1"/>
  <c r="V33" i="189"/>
  <c r="S18" i="189"/>
  <c r="L93" i="189"/>
  <c r="M93" i="189" s="1"/>
  <c r="P81" i="189"/>
  <c r="L69" i="189"/>
  <c r="V25" i="189"/>
  <c r="S76" i="189"/>
  <c r="J38" i="189"/>
  <c r="I45" i="189"/>
  <c r="M22" i="189"/>
  <c r="L59" i="189"/>
  <c r="J99" i="189"/>
  <c r="V41" i="189"/>
  <c r="I42" i="189"/>
  <c r="J42" i="189" s="1"/>
  <c r="J37" i="189"/>
  <c r="D44" i="189"/>
  <c r="D45" i="189" l="1"/>
  <c r="M69" i="189"/>
  <c r="M95" i="189"/>
  <c r="J16" i="189"/>
  <c r="V20" i="189"/>
  <c r="M39" i="189"/>
  <c r="J67" i="189"/>
  <c r="M29" i="189"/>
  <c r="V94" i="189"/>
  <c r="J69" i="189"/>
  <c r="J17" i="189"/>
  <c r="M89" i="189"/>
  <c r="J95" i="189"/>
  <c r="J63" i="189"/>
  <c r="J86" i="189"/>
  <c r="J31" i="189"/>
  <c r="M94" i="189"/>
  <c r="J26" i="189"/>
  <c r="J90" i="189"/>
  <c r="V100" i="189"/>
  <c r="J59" i="189"/>
  <c r="J64" i="189"/>
  <c r="J55" i="189"/>
  <c r="M59" i="189"/>
  <c r="J89" i="189"/>
  <c r="J80" i="189"/>
  <c r="M35" i="189"/>
  <c r="J45" i="189"/>
  <c r="V85" i="189"/>
</calcChain>
</file>

<file path=xl/sharedStrings.xml><?xml version="1.0" encoding="utf-8"?>
<sst xmlns="http://schemas.openxmlformats.org/spreadsheetml/2006/main" count="462" uniqueCount="281">
  <si>
    <t>C</t>
    <phoneticPr fontId="25"/>
  </si>
  <si>
    <t>μm</t>
    <phoneticPr fontId="25"/>
  </si>
  <si>
    <t>mm</t>
    <phoneticPr fontId="25"/>
  </si>
  <si>
    <t>Mat</t>
    <phoneticPr fontId="25"/>
  </si>
  <si>
    <t>Au</t>
    <phoneticPr fontId="25"/>
  </si>
  <si>
    <t>Kapton</t>
    <phoneticPr fontId="25"/>
  </si>
  <si>
    <t>Deg#</t>
    <phoneticPr fontId="25"/>
  </si>
  <si>
    <t>秤量</t>
  </si>
  <si>
    <t>採用</t>
    <rPh sb="0" eb="2">
      <t>サイヨウ</t>
    </rPh>
    <phoneticPr fontId="25"/>
  </si>
  <si>
    <t>遮光Al</t>
    <rPh sb="0" eb="2">
      <t>シャコウ</t>
    </rPh>
    <phoneticPr fontId="25"/>
  </si>
  <si>
    <t>空乏層</t>
    <rPh sb="0" eb="3">
      <t>クウボウソウ</t>
    </rPh>
    <phoneticPr fontId="25"/>
  </si>
  <si>
    <t>公称</t>
    <rPh sb="0" eb="2">
      <t>コウショウ</t>
    </rPh>
    <phoneticPr fontId="25"/>
  </si>
  <si>
    <t>PL.mylar</t>
    <phoneticPr fontId="25"/>
  </si>
  <si>
    <t>PL.EJ212</t>
    <phoneticPr fontId="25"/>
  </si>
  <si>
    <t>E [MeV/u]</t>
    <phoneticPr fontId="25"/>
  </si>
  <si>
    <t>Beam</t>
    <phoneticPr fontId="25"/>
  </si>
  <si>
    <t>Mon系</t>
    <rPh sb="3" eb="4">
      <t>ケイ</t>
    </rPh>
    <phoneticPr fontId="25"/>
  </si>
  <si>
    <t>Edeg</t>
    <phoneticPr fontId="25"/>
  </si>
  <si>
    <t>Range</t>
    <phoneticPr fontId="25"/>
  </si>
  <si>
    <t>Anal.</t>
    <phoneticPr fontId="25"/>
  </si>
  <si>
    <t>SSD2</t>
    <phoneticPr fontId="25"/>
  </si>
  <si>
    <t>秤量・公称</t>
    <rPh sb="0" eb="2">
      <t>ヒョウリョウ</t>
    </rPh>
    <rPh sb="3" eb="5">
      <t>コウショウ</t>
    </rPh>
    <phoneticPr fontId="25"/>
  </si>
  <si>
    <t>??</t>
    <phoneticPr fontId="25"/>
  </si>
  <si>
    <t>公称・秤量</t>
    <rPh sb="0" eb="2">
      <t>コウショウ</t>
    </rPh>
    <rPh sb="3" eb="5">
      <t>ヒョウリョウ</t>
    </rPh>
    <phoneticPr fontId="25"/>
  </si>
  <si>
    <t>10.10～10.33</t>
  </si>
  <si>
    <t>dead11</t>
    <phoneticPr fontId="25"/>
  </si>
  <si>
    <t>dead12</t>
    <phoneticPr fontId="25"/>
  </si>
  <si>
    <t>dead21</t>
    <phoneticPr fontId="25"/>
  </si>
  <si>
    <t>dead22</t>
    <phoneticPr fontId="25"/>
  </si>
  <si>
    <t>(名前定義)</t>
    <rPh sb="1" eb="3">
      <t>ナマエ</t>
    </rPh>
    <rPh sb="3" eb="5">
      <t>テイギ</t>
    </rPh>
    <phoneticPr fontId="25"/>
  </si>
  <si>
    <t>実験共通パラメータ・ワークシート</t>
    <rPh sb="0" eb="2">
      <t>ジッケン</t>
    </rPh>
    <rPh sb="2" eb="4">
      <t>キョウツウ</t>
    </rPh>
    <phoneticPr fontId="25"/>
  </si>
  <si>
    <t>WBtitle</t>
    <phoneticPr fontId="25"/>
  </si>
  <si>
    <t>BeamE</t>
    <phoneticPr fontId="25"/>
  </si>
  <si>
    <t>BeamA</t>
    <phoneticPr fontId="25"/>
  </si>
  <si>
    <t>ExpR</t>
    <phoneticPr fontId="25"/>
  </si>
  <si>
    <t>ssd Ecalib</t>
    <phoneticPr fontId="25"/>
  </si>
  <si>
    <t>ssdA1</t>
    <phoneticPr fontId="25"/>
  </si>
  <si>
    <t>ThEDtbl</t>
    <phoneticPr fontId="25"/>
  </si>
  <si>
    <t>ssdA1_Ea</t>
    <phoneticPr fontId="25"/>
  </si>
  <si>
    <t>MeV/ch</t>
    <phoneticPr fontId="25"/>
  </si>
  <si>
    <t>ssdA1_Eb</t>
    <phoneticPr fontId="25"/>
  </si>
  <si>
    <t>Zero [ch]</t>
    <phoneticPr fontId="25"/>
  </si>
  <si>
    <t>ssdA2</t>
    <phoneticPr fontId="25"/>
  </si>
  <si>
    <t>ssdA2_Ea</t>
    <phoneticPr fontId="25"/>
  </si>
  <si>
    <t>ssdA2_Eb</t>
    <phoneticPr fontId="25"/>
  </si>
  <si>
    <t>ssdB1</t>
    <phoneticPr fontId="25"/>
  </si>
  <si>
    <t>ssdB1_Ea</t>
    <phoneticPr fontId="25"/>
  </si>
  <si>
    <t>ssdB1_Eb</t>
    <phoneticPr fontId="25"/>
  </si>
  <si>
    <t>ssdB2</t>
    <phoneticPr fontId="25"/>
  </si>
  <si>
    <t>A</t>
    <phoneticPr fontId="25"/>
  </si>
  <si>
    <t>ssdB2_Ea</t>
    <phoneticPr fontId="25"/>
  </si>
  <si>
    <t>B</t>
    <phoneticPr fontId="25"/>
  </si>
  <si>
    <t>ssdB2_Eb</t>
    <phoneticPr fontId="25"/>
  </si>
  <si>
    <t>ThAu</t>
    <phoneticPr fontId="25"/>
  </si>
  <si>
    <t>ThKapton</t>
    <phoneticPr fontId="25"/>
  </si>
  <si>
    <t>ThICmylar</t>
    <phoneticPr fontId="25"/>
  </si>
  <si>
    <t>ThPLmylar</t>
    <phoneticPr fontId="25"/>
  </si>
  <si>
    <t>ThPL</t>
    <phoneticPr fontId="25"/>
  </si>
  <si>
    <t>ThAir1</t>
    <phoneticPr fontId="25"/>
  </si>
  <si>
    <t>Air1</t>
    <phoneticPr fontId="25"/>
  </si>
  <si>
    <t>Kap～Edeg出口</t>
    <rPh sb="8" eb="10">
      <t>デグチ</t>
    </rPh>
    <phoneticPr fontId="25"/>
  </si>
  <si>
    <t>ThAir2</t>
    <phoneticPr fontId="25"/>
  </si>
  <si>
    <t>Air2</t>
    <phoneticPr fontId="25"/>
  </si>
  <si>
    <t>Edeg出口～SSD</t>
    <rPh sb="4" eb="6">
      <t>デグチ</t>
    </rPh>
    <phoneticPr fontId="25"/>
  </si>
  <si>
    <t>ICs_Mylar</t>
    <phoneticPr fontId="25"/>
  </si>
  <si>
    <t>電極Al.Mylar [μm]</t>
    <rPh sb="0" eb="2">
      <t>デンキョク</t>
    </rPh>
    <phoneticPr fontId="25"/>
  </si>
  <si>
    <t>ICs_Th</t>
    <phoneticPr fontId="25"/>
  </si>
  <si>
    <t>空気層 [mm]</t>
    <rPh sb="0" eb="2">
      <t>クウキ</t>
    </rPh>
    <rPh sb="2" eb="3">
      <t>ソウ</t>
    </rPh>
    <phoneticPr fontId="25"/>
  </si>
  <si>
    <t>2mm</t>
    <phoneticPr fontId="25"/>
  </si>
  <si>
    <t>ssdA_Al</t>
    <phoneticPr fontId="25"/>
  </si>
  <si>
    <t>ssdA1_d1</t>
    <phoneticPr fontId="25"/>
  </si>
  <si>
    <t>ssdA1_Th</t>
    <phoneticPr fontId="25"/>
  </si>
  <si>
    <t>ssdA1_d2</t>
    <phoneticPr fontId="25"/>
  </si>
  <si>
    <t>ssdA2_d1</t>
    <phoneticPr fontId="25"/>
  </si>
  <si>
    <t>ssdA2_Th</t>
    <phoneticPr fontId="25"/>
  </si>
  <si>
    <t>ssdA2_d2</t>
    <phoneticPr fontId="25"/>
  </si>
  <si>
    <t>ssdB12</t>
    <phoneticPr fontId="25"/>
  </si>
  <si>
    <t>ssdB_Al</t>
    <phoneticPr fontId="25"/>
  </si>
  <si>
    <t>ssdB1_d1</t>
    <phoneticPr fontId="25"/>
  </si>
  <si>
    <t>ssdB1_Th</t>
    <phoneticPr fontId="25"/>
  </si>
  <si>
    <t>ssdB1_d2</t>
    <phoneticPr fontId="25"/>
  </si>
  <si>
    <t>??</t>
    <phoneticPr fontId="25"/>
  </si>
  <si>
    <t>SSD2</t>
    <phoneticPr fontId="25"/>
  </si>
  <si>
    <t>μm</t>
    <phoneticPr fontId="25"/>
  </si>
  <si>
    <t>ssdB2_d1</t>
    <phoneticPr fontId="25"/>
  </si>
  <si>
    <t>dead21</t>
    <phoneticPr fontId="25"/>
  </si>
  <si>
    <t>ssdB2_Th</t>
    <phoneticPr fontId="25"/>
  </si>
  <si>
    <t>ssdB2_d2</t>
    <phoneticPr fontId="25"/>
  </si>
  <si>
    <t>dead22</t>
    <phoneticPr fontId="25"/>
  </si>
  <si>
    <t>in Si</t>
    <phoneticPr fontId="25"/>
  </si>
  <si>
    <t>Edeg直後で</t>
    <rPh sb="4" eb="6">
      <t>チョクゴ</t>
    </rPh>
    <phoneticPr fontId="25"/>
  </si>
  <si>
    <t>SRIM Fit W.S.name</t>
    <phoneticPr fontId="25"/>
  </si>
  <si>
    <t>気温</t>
    <rPh sb="0" eb="2">
      <t>キオン</t>
    </rPh>
    <phoneticPr fontId="25"/>
  </si>
  <si>
    <t>気圧</t>
    <rPh sb="0" eb="1">
      <t>キ</t>
    </rPh>
    <rPh sb="1" eb="2">
      <t>アツ</t>
    </rPh>
    <phoneticPr fontId="25"/>
  </si>
  <si>
    <t>℃</t>
    <phoneticPr fontId="25"/>
  </si>
  <si>
    <t>hPa</t>
    <phoneticPr fontId="25"/>
  </si>
  <si>
    <t>《本シートの参照パラメータ》</t>
    <rPh sb="1" eb="2">
      <t>ホン</t>
    </rPh>
    <rPh sb="6" eb="8">
      <t>サンショウ</t>
    </rPh>
    <phoneticPr fontId="25"/>
  </si>
  <si>
    <t>WS_head</t>
    <phoneticPr fontId="25"/>
  </si>
  <si>
    <t>ref)params</t>
    <phoneticPr fontId="25"/>
  </si>
  <si>
    <t>μm</t>
  </si>
  <si>
    <t>IC測定で求めた</t>
    <rPh sb="2" eb="4">
      <t>ソクテイ</t>
    </rPh>
    <rPh sb="5" eb="6">
      <t>モト</t>
    </rPh>
    <phoneticPr fontId="25"/>
  </si>
  <si>
    <t>IC2</t>
    <phoneticPr fontId="25"/>
  </si>
  <si>
    <t>IC1.mylar</t>
    <phoneticPr fontId="25"/>
  </si>
  <si>
    <t>電極膜</t>
    <rPh sb="0" eb="2">
      <t>デンキョク</t>
    </rPh>
    <rPh sb="2" eb="3">
      <t>マク</t>
    </rPh>
    <phoneticPr fontId="25"/>
  </si>
  <si>
    <t>空気層</t>
    <rPh sb="0" eb="2">
      <t>クウキ</t>
    </rPh>
    <rPh sb="2" eb="3">
      <t>ソウ</t>
    </rPh>
    <phoneticPr fontId="25"/>
  </si>
  <si>
    <t>in Air</t>
    <phoneticPr fontId="25"/>
  </si>
  <si>
    <t>R^2</t>
    <phoneticPr fontId="25"/>
  </si>
  <si>
    <t>Ebm</t>
    <phoneticPr fontId="25"/>
  </si>
  <si>
    <t>MeV/u</t>
    <phoneticPr fontId="25"/>
  </si>
  <si>
    <t>※このシートの名前定義のスコープは「ブック」全体にしてある。</t>
    <rPh sb="7" eb="9">
      <t>ナマエ</t>
    </rPh>
    <rPh sb="9" eb="11">
      <t>テイギ</t>
    </rPh>
    <rPh sb="22" eb="24">
      <t>ゼンタイ</t>
    </rPh>
    <phoneticPr fontId="25"/>
  </si>
  <si>
    <t>MeV</t>
    <phoneticPr fontId="25"/>
  </si>
  <si>
    <t>Th</t>
    <phoneticPr fontId="25"/>
  </si>
  <si>
    <t>FitRange</t>
  </si>
  <si>
    <t>Zero [Amp]</t>
    <phoneticPr fontId="25"/>
  </si>
  <si>
    <t>ExpR(#-2)</t>
    <phoneticPr fontId="25"/>
  </si>
  <si>
    <t>ExpR(#-1)</t>
    <phoneticPr fontId="25"/>
  </si>
  <si>
    <t>ExpR(#+1)</t>
    <phoneticPr fontId="25"/>
  </si>
  <si>
    <t>ExpR(#+2)</t>
    <phoneticPr fontId="25"/>
  </si>
  <si>
    <t>avr</t>
    <phoneticPr fontId="25"/>
  </si>
  <si>
    <t>Air2通過後</t>
    <rPh sb="4" eb="6">
      <t>ツウカ</t>
    </rPh>
    <rPh sb="6" eb="7">
      <t>ゴ</t>
    </rPh>
    <phoneticPr fontId="25"/>
  </si>
  <si>
    <t>IC小の内部</t>
    <rPh sb="1" eb="2">
      <t>ショウ</t>
    </rPh>
    <rPh sb="4" eb="6">
      <t>ナイブ</t>
    </rPh>
    <phoneticPr fontId="25"/>
  </si>
  <si>
    <t>⊿E1clc fit 用</t>
    <rPh sb="11" eb="12">
      <t>ヨウ</t>
    </rPh>
    <phoneticPr fontId="25"/>
  </si>
  <si>
    <t>ED</t>
    <phoneticPr fontId="17"/>
  </si>
  <si>
    <t>気圧</t>
    <rPh sb="0" eb="2">
      <t>キアツ</t>
    </rPh>
    <phoneticPr fontId="25"/>
  </si>
  <si>
    <t>Al-Edeg 組合せ</t>
    <rPh sb="8" eb="10">
      <t>クミアワ</t>
    </rPh>
    <phoneticPr fontId="25"/>
  </si>
  <si>
    <t>試料</t>
    <rPh sb="0" eb="2">
      <t>シリョウ</t>
    </rPh>
    <phoneticPr fontId="25"/>
  </si>
  <si>
    <t>IC小</t>
    <rPh sb="2" eb="3">
      <t>ショウ</t>
    </rPh>
    <phoneticPr fontId="25"/>
  </si>
  <si>
    <t>μm</t>
    <phoneticPr fontId="17"/>
  </si>
  <si>
    <t>[A]</t>
    <phoneticPr fontId="25"/>
  </si>
  <si>
    <t>hPa</t>
  </si>
  <si>
    <t>sqrt(sumsq ())</t>
    <phoneticPr fontId="25"/>
  </si>
  <si>
    <t>sta</t>
    <phoneticPr fontId="25"/>
  </si>
  <si>
    <t>MeV/Amp</t>
    <phoneticPr fontId="25"/>
  </si>
  <si>
    <t>ErrE</t>
    <phoneticPr fontId="25"/>
  </si>
  <si>
    <t>end</t>
    <phoneticPr fontId="25"/>
  </si>
  <si>
    <t xml:space="preserve"> Range(Al)-&gt;E</t>
    <phoneticPr fontId="25"/>
  </si>
  <si>
    <t>LET</t>
    <phoneticPr fontId="25"/>
  </si>
  <si>
    <t>ExpR=</t>
    <phoneticPr fontId="25"/>
  </si>
  <si>
    <t>Th0</t>
    <phoneticPr fontId="25"/>
  </si>
  <si>
    <t>Run#</t>
    <phoneticPr fontId="25"/>
  </si>
  <si>
    <t>Th1</t>
    <phoneticPr fontId="25"/>
  </si>
  <si>
    <t>Erng</t>
    <phoneticPr fontId="25"/>
  </si>
  <si>
    <t>E00</t>
    <phoneticPr fontId="25"/>
  </si>
  <si>
    <t>E10</t>
    <phoneticPr fontId="25"/>
  </si>
  <si>
    <t>E11</t>
    <phoneticPr fontId="25"/>
  </si>
  <si>
    <t>⊿Eclc</t>
    <phoneticPr fontId="25"/>
  </si>
  <si>
    <t>norm</t>
    <phoneticPr fontId="25"/>
  </si>
  <si>
    <t>Ediff</t>
    <phoneticPr fontId="25"/>
  </si>
  <si>
    <t>⊿Eclc [MeV]</t>
    <phoneticPr fontId="25"/>
  </si>
  <si>
    <t>Ediff [MeV]</t>
    <phoneticPr fontId="25"/>
  </si>
  <si>
    <t>EDscIC 解析</t>
    <rPh sb="7" eb="9">
      <t>カイセキ</t>
    </rPh>
    <phoneticPr fontId="25"/>
  </si>
  <si>
    <t>Al</t>
    <phoneticPr fontId="25"/>
  </si>
  <si>
    <t>Air</t>
    <phoneticPr fontId="25"/>
  </si>
  <si>
    <t>Mylar</t>
    <phoneticPr fontId="25"/>
  </si>
  <si>
    <t>EDptn</t>
    <phoneticPr fontId="25"/>
  </si>
  <si>
    <t>Mk</t>
    <phoneticPr fontId="25"/>
  </si>
  <si>
    <t>Si</t>
    <phoneticPr fontId="25"/>
  </si>
  <si>
    <t>毎回のRunを参照</t>
    <rPh sb="0" eb="2">
      <t>マイカイ</t>
    </rPh>
    <rPh sb="7" eb="9">
      <t>サンショウ</t>
    </rPh>
    <phoneticPr fontId="25"/>
  </si>
  <si>
    <t>Note:</t>
    <phoneticPr fontId="25"/>
  </si>
  <si>
    <t>File:</t>
    <phoneticPr fontId="25"/>
  </si>
  <si>
    <t>①試算: ED選よりCopy</t>
    <rPh sb="1" eb="3">
      <t>シサン</t>
    </rPh>
    <rPh sb="7" eb="8">
      <t>セン</t>
    </rPh>
    <phoneticPr fontId="25"/>
  </si>
  <si>
    <t>公称値</t>
    <rPh sb="0" eb="2">
      <t>コウショウ</t>
    </rPh>
    <rPh sb="2" eb="3">
      <t>チ</t>
    </rPh>
    <phoneticPr fontId="25"/>
  </si>
  <si>
    <t>⊿ExpR</t>
    <phoneticPr fontId="25"/>
  </si>
  <si>
    <t>step</t>
    <phoneticPr fontId="25"/>
  </si>
  <si>
    <t>-- Graph start --</t>
    <phoneticPr fontId="25"/>
  </si>
  <si>
    <t>-- Graph end --</t>
    <phoneticPr fontId="25"/>
  </si>
  <si>
    <t>&lt;- 非Plot点はX値に=NA() 表の点数は自由に変更可能</t>
    <rPh sb="3" eb="4">
      <t>ヒ</t>
    </rPh>
    <rPh sb="8" eb="9">
      <t>テン</t>
    </rPh>
    <rPh sb="11" eb="12">
      <t>チ</t>
    </rPh>
    <rPh sb="19" eb="20">
      <t>ヒョウ</t>
    </rPh>
    <rPh sb="21" eb="23">
      <t>テンスウ</t>
    </rPh>
    <rPh sb="24" eb="26">
      <t>ジユウ</t>
    </rPh>
    <rPh sb="27" eb="29">
      <t>ヘンコウ</t>
    </rPh>
    <rPh sb="29" eb="31">
      <t>カノウ</t>
    </rPh>
    <phoneticPr fontId="25"/>
  </si>
  <si>
    <t>IC1</t>
  </si>
  <si>
    <t>stdev</t>
    <phoneticPr fontId="25"/>
  </si>
  <si>
    <t>[MeV]</t>
    <phoneticPr fontId="25"/>
  </si>
  <si>
    <t>err</t>
    <phoneticPr fontId="25"/>
  </si>
  <si>
    <t>IC2</t>
    <phoneticPr fontId="25"/>
  </si>
  <si>
    <t>空気</t>
    <rPh sb="0" eb="2">
      <t>クウキ</t>
    </rPh>
    <phoneticPr fontId="25"/>
  </si>
  <si>
    <t>MeV/u</t>
    <phoneticPr fontId="25"/>
  </si>
  <si>
    <t>Mylar</t>
    <phoneticPr fontId="25"/>
  </si>
  <si>
    <t>～の入口で</t>
    <rPh sb="2" eb="4">
      <t>イリグチ</t>
    </rPh>
    <phoneticPr fontId="25"/>
  </si>
  <si>
    <t>Air2</t>
    <phoneticPr fontId="25"/>
  </si>
  <si>
    <t>Eold()</t>
    <phoneticPr fontId="25"/>
  </si>
  <si>
    <t>μm</t>
    <phoneticPr fontId="25"/>
  </si>
  <si>
    <t>∴EDoutで</t>
    <phoneticPr fontId="25"/>
  </si>
  <si>
    <t>Al相当飛程</t>
    <rPh sb="2" eb="4">
      <t>ソウトウ</t>
    </rPh>
    <rPh sb="4" eb="6">
      <t>ヒテイ</t>
    </rPh>
    <phoneticPr fontId="25"/>
  </si>
  <si>
    <t>ExpR-&gt;Th0逆算</t>
    <rPh sb="9" eb="11">
      <t>ギャクサン</t>
    </rPh>
    <phoneticPr fontId="25"/>
  </si>
  <si>
    <t>EDegScan IC 詳細計算</t>
    <rPh sb="12" eb="14">
      <t>ショウサイ</t>
    </rPh>
    <rPh sb="14" eb="16">
      <t>ケイサン</t>
    </rPh>
    <phoneticPr fontId="25"/>
  </si>
  <si>
    <t>ここまでが、グラフプロット範囲。不要な行はクリアしておくこと。</t>
    <rPh sb="13" eb="15">
      <t>ハンイ</t>
    </rPh>
    <rPh sb="16" eb="18">
      <t>フヨウ</t>
    </rPh>
    <rPh sb="19" eb="20">
      <t>ギョウ</t>
    </rPh>
    <phoneticPr fontId="25"/>
  </si>
  <si>
    <t>Fit結果でplot</t>
    <rPh sb="3" eb="5">
      <t>ケッカ</t>
    </rPh>
    <phoneticPr fontId="25"/>
  </si>
  <si>
    <t>from) params</t>
    <phoneticPr fontId="25"/>
  </si>
  <si>
    <t>from) params</t>
    <phoneticPr fontId="25"/>
  </si>
  <si>
    <t>from) params</t>
    <phoneticPr fontId="25"/>
  </si>
  <si>
    <t>BeamWS</t>
    <phoneticPr fontId="25"/>
  </si>
  <si>
    <t>min</t>
    <phoneticPr fontId="25"/>
  </si>
  <si>
    <t>max</t>
    <phoneticPr fontId="25"/>
  </si>
  <si>
    <t xml:space="preserve">  avr diff</t>
    <phoneticPr fontId="25"/>
  </si>
  <si>
    <t>行番号指定</t>
    <rPh sb="0" eb="3">
      <t>ギョウバンゴウ</t>
    </rPh>
    <rPh sb="3" eb="5">
      <t>シテイ</t>
    </rPh>
    <phoneticPr fontId="25"/>
  </si>
  <si>
    <t>IC1avr 基準[A]</t>
    <rPh sb="7" eb="9">
      <t>キジュン</t>
    </rPh>
    <phoneticPr fontId="25"/>
  </si>
  <si>
    <t>avr気温</t>
    <rPh sb="3" eb="5">
      <t>キオン</t>
    </rPh>
    <phoneticPr fontId="25"/>
  </si>
  <si>
    <t>avr気圧</t>
    <rPh sb="3" eb="4">
      <t>キ</t>
    </rPh>
    <rPh sb="4" eb="5">
      <t>アツ</t>
    </rPh>
    <phoneticPr fontId="25"/>
  </si>
  <si>
    <t>AirT</t>
    <phoneticPr fontId="25"/>
  </si>
  <si>
    <t>AirP</t>
    <phoneticPr fontId="25"/>
  </si>
  <si>
    <t>WS_header</t>
    <phoneticPr fontId="25"/>
  </si>
  <si>
    <t>μm</t>
    <phoneticPr fontId="25"/>
  </si>
  <si>
    <t>srim84Kr_</t>
    <phoneticPr fontId="25"/>
  </si>
  <si>
    <t>0000000000000</t>
  </si>
  <si>
    <t>1234007800000</t>
  </si>
  <si>
    <t>0000567800000</t>
  </si>
  <si>
    <t>000056780A000</t>
  </si>
  <si>
    <t>0200567800000</t>
  </si>
  <si>
    <t>0204507800000</t>
  </si>
  <si>
    <t>1234507800000</t>
  </si>
  <si>
    <t>Rng位置Th0逆算</t>
    <rPh sb="3" eb="5">
      <t>イチ</t>
    </rPh>
    <rPh sb="8" eb="10">
      <t>ギャクサン</t>
    </rPh>
    <phoneticPr fontId="25"/>
  </si>
  <si>
    <t>0004500000000</t>
  </si>
  <si>
    <t>000050700A000</t>
  </si>
  <si>
    <t>0230567000000</t>
  </si>
  <si>
    <t>0004000800000</t>
  </si>
  <si>
    <t>0030500800000</t>
  </si>
  <si>
    <t>0204060800000</t>
  </si>
  <si>
    <t>0030007800000</t>
  </si>
  <si>
    <t>0204560800000</t>
  </si>
  <si>
    <t>0030067800000</t>
  </si>
  <si>
    <t>1230507800000</t>
  </si>
  <si>
    <t>0034507800000</t>
  </si>
  <si>
    <t>0234067800000</t>
  </si>
  <si>
    <t>0230567800000</t>
  </si>
  <si>
    <t>グラフ軸 min/max 設定</t>
    <rPh sb="3" eb="4">
      <t>ジク</t>
    </rPh>
    <rPh sb="13" eb="15">
      <t>セッテイ</t>
    </rPh>
    <phoneticPr fontId="17"/>
  </si>
  <si>
    <t>Gr名</t>
    <rPh sb="2" eb="3">
      <t>メイ</t>
    </rPh>
    <phoneticPr fontId="17"/>
  </si>
  <si>
    <t>Xmin</t>
    <phoneticPr fontId="17"/>
  </si>
  <si>
    <t>Xmax</t>
    <phoneticPr fontId="17"/>
  </si>
  <si>
    <t>GrTitle</t>
    <phoneticPr fontId="17"/>
  </si>
  <si>
    <t>raw</t>
    <phoneticPr fontId="25"/>
  </si>
  <si>
    <t>IC2rawでfit</t>
    <phoneticPr fontId="25"/>
  </si>
  <si>
    <t>IC1でnormしたIC2でfit</t>
    <phoneticPr fontId="25"/>
  </si>
  <si>
    <t>FitClm#</t>
    <phoneticPr fontId="25"/>
  </si>
  <si>
    <t>（参考）　Norm補正無し： Rawデータの場合</t>
    <rPh sb="1" eb="3">
      <t>サンコウ</t>
    </rPh>
    <rPh sb="9" eb="11">
      <t>ホセイ</t>
    </rPh>
    <rPh sb="11" eb="12">
      <t>ナ</t>
    </rPh>
    <rPh sb="22" eb="24">
      <t>バアイ</t>
    </rPh>
    <phoneticPr fontId="25"/>
  </si>
  <si>
    <t>IC2[A] raw</t>
    <phoneticPr fontId="25"/>
  </si>
  <si>
    <t>IC1[A] raw</t>
    <phoneticPr fontId="25"/>
  </si>
  <si>
    <t>IC2(raw_Ecal)</t>
    <phoneticPr fontId="25"/>
  </si>
  <si>
    <t>IC2(norm_Ecal)</t>
    <phoneticPr fontId="25"/>
  </si>
  <si>
    <t>IC2(norm) Ecalib</t>
    <phoneticPr fontId="25"/>
  </si>
  <si>
    <t>IC2(raw) Ecalib</t>
    <phoneticPr fontId="25"/>
  </si>
  <si>
    <t>IC2nrm</t>
    <phoneticPr fontId="25"/>
  </si>
  <si>
    <t>IC2raw</t>
    <phoneticPr fontId="25"/>
  </si>
  <si>
    <t>Gr1w</t>
    <phoneticPr fontId="17"/>
  </si>
  <si>
    <t>Gr1n</t>
    <phoneticPr fontId="17"/>
  </si>
  <si>
    <t>Gr2w</t>
    <phoneticPr fontId="17"/>
  </si>
  <si>
    <t>Gr2n</t>
    <phoneticPr fontId="17"/>
  </si>
  <si>
    <t>Gr3w</t>
    <phoneticPr fontId="17"/>
  </si>
  <si>
    <t>Gr3n</t>
    <phoneticPr fontId="17"/>
  </si>
  <si>
    <t>Gr4w</t>
    <phoneticPr fontId="17"/>
  </si>
  <si>
    <t>Gr4n</t>
    <phoneticPr fontId="17"/>
  </si>
  <si>
    <t>Gr5nr</t>
    <phoneticPr fontId="17"/>
  </si>
  <si>
    <t>Gr5rw</t>
    <phoneticPr fontId="17"/>
  </si>
  <si>
    <t>Gr6w</t>
    <phoneticPr fontId="17"/>
  </si>
  <si>
    <t>Gr7w</t>
    <phoneticPr fontId="17"/>
  </si>
  <si>
    <t>Gr8w</t>
    <phoneticPr fontId="17"/>
  </si>
  <si>
    <t>Ymin</t>
    <phoneticPr fontId="17"/>
  </si>
  <si>
    <t>Ymax</t>
    <phoneticPr fontId="17"/>
  </si>
  <si>
    <t>R(Air)</t>
    <phoneticPr fontId="25"/>
  </si>
  <si>
    <t>0034000000000</t>
  </si>
  <si>
    <t>0030560000000</t>
  </si>
  <si>
    <t>0034067000000</t>
  </si>
  <si>
    <t>0000000800000</t>
  </si>
  <si>
    <t>0000007800000</t>
  </si>
  <si>
    <t>0200067800000</t>
  </si>
  <si>
    <t>1030507800000</t>
  </si>
  <si>
    <t>1034507800000</t>
  </si>
  <si>
    <t>023450780A000</t>
  </si>
  <si>
    <t>123406780A000</t>
  </si>
  <si>
    <t>ssdC12</t>
    <phoneticPr fontId="25"/>
  </si>
  <si>
    <t>scnEDic 解析</t>
    <rPh sb="8" eb="10">
      <t>カイセキ</t>
    </rPh>
    <phoneticPr fontId="25"/>
  </si>
  <si>
    <t>1000567800000</t>
  </si>
  <si>
    <t>100056780A000</t>
  </si>
  <si>
    <t>020056780A000</t>
  </si>
  <si>
    <t>1200567800000</t>
  </si>
  <si>
    <t>120056780A000</t>
  </si>
  <si>
    <t>1030567800000</t>
  </si>
  <si>
    <t>1230567800000</t>
  </si>
  <si>
    <t>123056780A000</t>
  </si>
  <si>
    <t>2018.07 Kr照射</t>
    <phoneticPr fontId="25"/>
  </si>
  <si>
    <t>&lt;-- この値を手動で決める</t>
    <rPh sb="6" eb="7">
      <t>アタイ</t>
    </rPh>
    <rPh sb="8" eb="10">
      <t>シュドウ</t>
    </rPh>
    <rPh sb="11" eb="12">
      <t>キ</t>
    </rPh>
    <phoneticPr fontId="25"/>
  </si>
  <si>
    <t>scnEDic02_201807.dat</t>
    <phoneticPr fontId="25"/>
  </si>
  <si>
    <t>IC2 Range測定</t>
    <rPh sb="9" eb="11">
      <t>ソクテイ</t>
    </rPh>
    <phoneticPr fontId="25"/>
  </si>
  <si>
    <r>
      <rPr>
        <b/>
        <sz val="9"/>
        <color rgb="FFFF0000"/>
        <rFont val="ＭＳ Ｐゴシック"/>
        <family val="3"/>
        <charset val="128"/>
      </rPr>
      <t>ExR</t>
    </r>
    <r>
      <rPr>
        <b/>
        <sz val="9"/>
        <color rgb="FF009900"/>
        <rFont val="ＭＳ Ｐゴシック"/>
        <family val="3"/>
        <charset val="128"/>
      </rPr>
      <t>-Th0</t>
    </r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</si>
</sst>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00"/>
    <numFmt numFmtId="177" formatCode="0.000"/>
    <numFmt numFmtId="178" formatCode="0.0"/>
    <numFmt numFmtId="179" formatCode="0_ "/>
    <numFmt numFmtId="180" formatCode="0.00000"/>
    <numFmt numFmtId="181" formatCode="0.0E+00"/>
    <numFmt numFmtId="182" formatCode="0.0_ "/>
    <numFmt numFmtId="183" formatCode="0.0%"/>
    <numFmt numFmtId="184" formatCode="0.00_ "/>
    <numFmt numFmtId="185" formatCode="0.0000_ "/>
    <numFmt numFmtId="186" formatCode="0.000_ "/>
    <numFmt numFmtId="187" formatCode="0.0E+0"/>
  </numFmts>
  <fonts count="11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  <charset val="204"/>
    </font>
    <font>
      <sz val="10"/>
      <name val="MS Sans Serif"/>
      <family val="2"/>
    </font>
    <font>
      <sz val="10"/>
      <name val="Geneva"/>
      <family val="2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name val="細明朝体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b/>
      <sz val="11"/>
      <color rgb="FFFF00F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rgb="FF00990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11"/>
      <color rgb="FF9900FF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rgb="FF009900"/>
      <name val="ＭＳ Ｐゴシック"/>
      <family val="3"/>
      <charset val="128"/>
      <scheme val="minor"/>
    </font>
    <font>
      <sz val="12"/>
      <name val="Osaka"/>
      <family val="3"/>
      <charset val="128"/>
    </font>
    <font>
      <b/>
      <sz val="9"/>
      <color rgb="FF009900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1"/>
      <color rgb="FF99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6600FF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9"/>
      <color rgb="FF009900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i/>
      <sz val="11"/>
      <color rgb="FFFF00FF"/>
      <name val="ＭＳ Ｐゴシック"/>
      <family val="3"/>
      <charset val="128"/>
      <scheme val="minor"/>
    </font>
    <font>
      <b/>
      <sz val="11"/>
      <color indexed="12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  <scheme val="minor"/>
    </font>
    <font>
      <b/>
      <sz val="9"/>
      <color rgb="FF009900"/>
      <name val="ＭＳ Ｐゴシック"/>
      <family val="3"/>
      <charset val="128"/>
    </font>
    <font>
      <sz val="8"/>
      <color rgb="FFFF66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11"/>
      <color theme="9" tint="-0.499984740745262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rgb="FFFF00FF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  <font>
      <sz val="9"/>
      <color rgb="FFFF00FF"/>
      <name val="ＭＳ Ｐゴシック"/>
      <family val="3"/>
      <charset val="128"/>
      <scheme val="minor"/>
    </font>
    <font>
      <sz val="10"/>
      <color theme="5"/>
      <name val="ＭＳ Ｐゴシック"/>
      <family val="3"/>
      <charset val="128"/>
      <scheme val="minor"/>
    </font>
    <font>
      <sz val="9"/>
      <color theme="5"/>
      <name val="ＭＳ Ｐゴシック"/>
      <family val="3"/>
      <charset val="128"/>
      <scheme val="minor"/>
    </font>
    <font>
      <sz val="10"/>
      <color theme="6" tint="-0.249977111117893"/>
      <name val="ＭＳ Ｐゴシック"/>
      <family val="3"/>
      <charset val="128"/>
      <scheme val="minor"/>
    </font>
    <font>
      <sz val="10"/>
      <color theme="6" tint="-0.249977111117893"/>
      <name val="ＭＳ Ｐゴシック"/>
      <family val="3"/>
      <charset val="128"/>
    </font>
    <font>
      <sz val="9"/>
      <color theme="4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1"/>
      <color theme="1" tint="0.499984740745262"/>
      <name val="ＭＳ Ｐゴシック"/>
      <family val="3"/>
      <charset val="128"/>
      <scheme val="minor"/>
    </font>
    <font>
      <i/>
      <sz val="10"/>
      <color theme="1" tint="0.49998474074526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</font>
    <font>
      <i/>
      <sz val="9"/>
      <color theme="0" tint="-0.499984740745262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rgb="FF009900"/>
      <name val="ＭＳ Ｐゴシック"/>
      <family val="3"/>
      <charset val="128"/>
    </font>
    <font>
      <b/>
      <sz val="11"/>
      <color rgb="FF008000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i/>
      <sz val="9"/>
      <color theme="1" tint="0.499984740745262"/>
      <name val="ＭＳ Ｐゴシック"/>
      <family val="3"/>
      <charset val="128"/>
      <scheme val="minor"/>
    </font>
    <font>
      <b/>
      <i/>
      <sz val="11"/>
      <color theme="3"/>
      <name val="ＭＳ Ｐゴシック"/>
      <family val="3"/>
      <charset val="128"/>
      <scheme val="minor"/>
    </font>
    <font>
      <sz val="9"/>
      <color theme="9" tint="-0.249977111117893"/>
      <name val="ＭＳ Ｐゴシック"/>
      <family val="3"/>
      <charset val="128"/>
      <scheme val="minor"/>
    </font>
    <font>
      <sz val="9"/>
      <color theme="9" tint="-0.249977111117893"/>
      <name val="ＭＳ Ｐゴシック"/>
      <family val="3"/>
      <charset val="128"/>
    </font>
    <font>
      <sz val="9"/>
      <color rgb="FFFF00FF"/>
      <name val="ＭＳ Ｐゴシック"/>
      <family val="3"/>
      <charset val="128"/>
    </font>
    <font>
      <sz val="10"/>
      <color rgb="FF008000"/>
      <name val="ＭＳ Ｐゴシック"/>
      <family val="3"/>
      <charset val="128"/>
      <scheme val="minor"/>
    </font>
    <font>
      <sz val="11"/>
      <color rgb="FF6600FF"/>
      <name val="ＭＳ Ｐゴシック"/>
      <family val="3"/>
      <charset val="128"/>
      <scheme val="minor"/>
    </font>
    <font>
      <sz val="11"/>
      <color rgb="FF6600FF"/>
      <name val="ＭＳ Ｐゴシック"/>
      <family val="3"/>
      <charset val="128"/>
    </font>
    <font>
      <sz val="9"/>
      <color rgb="FF6600FF"/>
      <name val="ＭＳ Ｐゴシック"/>
      <family val="3"/>
      <charset val="128"/>
      <scheme val="minor"/>
    </font>
    <font>
      <sz val="9"/>
      <color rgb="FF6600FF"/>
      <name val="ＭＳ Ｐゴシック"/>
      <family val="3"/>
      <charset val="128"/>
    </font>
    <font>
      <b/>
      <sz val="9"/>
      <color rgb="FF6600FF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i/>
      <sz val="9"/>
      <color theme="3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i/>
      <sz val="9"/>
      <color rgb="FF0070C0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sz val="10"/>
      <color rgb="FFC00000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/>
      <diagonal/>
    </border>
    <border>
      <left style="thin">
        <color rgb="FFFF00FF"/>
      </left>
      <right style="thin">
        <color rgb="FFFF00FF"/>
      </right>
      <top/>
      <bottom/>
      <diagonal/>
    </border>
    <border>
      <left style="thin">
        <color rgb="FFFF00FF"/>
      </left>
      <right style="thin">
        <color rgb="FFFF00FF"/>
      </right>
      <top/>
      <bottom style="thin">
        <color rgb="FFFF00F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00FF"/>
      </left>
      <right/>
      <top style="thin">
        <color rgb="FFFF00FF"/>
      </top>
      <bottom/>
      <diagonal/>
    </border>
    <border>
      <left/>
      <right style="thin">
        <color rgb="FFFF00FF"/>
      </right>
      <top style="thin">
        <color rgb="FFFF00FF"/>
      </top>
      <bottom/>
      <diagonal/>
    </border>
    <border>
      <left style="thin">
        <color rgb="FFFF00FF"/>
      </left>
      <right/>
      <top/>
      <bottom/>
      <diagonal/>
    </border>
    <border>
      <left/>
      <right style="thin">
        <color rgb="FFFF00FF"/>
      </right>
      <top/>
      <bottom/>
      <diagonal/>
    </border>
    <border>
      <left style="thin">
        <color rgb="FFFF00FF"/>
      </left>
      <right/>
      <top/>
      <bottom style="thin">
        <color rgb="FFFF00FF"/>
      </bottom>
      <diagonal/>
    </border>
    <border>
      <left/>
      <right style="thin">
        <color rgb="FFFF00FF"/>
      </right>
      <top/>
      <bottom style="thin">
        <color rgb="FFFF00FF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8">
    <xf numFmtId="0" fontId="0" fillId="0" borderId="0">
      <alignment vertical="center"/>
    </xf>
    <xf numFmtId="0" fontId="19" fillId="0" borderId="0"/>
    <xf numFmtId="0" fontId="22" fillId="0" borderId="0">
      <alignment vertical="center"/>
    </xf>
    <xf numFmtId="0" fontId="18" fillId="0" borderId="0"/>
    <xf numFmtId="0" fontId="22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8" fillId="0" borderId="0"/>
    <xf numFmtId="0" fontId="14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35" fillId="0" borderId="0"/>
    <xf numFmtId="0" fontId="36" fillId="0" borderId="0">
      <alignment vertical="center"/>
    </xf>
    <xf numFmtId="0" fontId="3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47" fillId="0" borderId="0"/>
    <xf numFmtId="38" fontId="47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1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Font="1" applyFill="1" applyBorder="1">
      <alignment vertical="center"/>
    </xf>
    <xf numFmtId="178" fontId="33" fillId="0" borderId="0" xfId="0" applyNumberFormat="1" applyFont="1" applyFill="1" applyBorder="1">
      <alignment vertical="center"/>
    </xf>
    <xf numFmtId="0" fontId="0" fillId="0" borderId="0" xfId="0" applyBorder="1" applyAlignment="1">
      <alignment horizontal="right" vertical="center"/>
    </xf>
    <xf numFmtId="0" fontId="33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29" fillId="0" borderId="0" xfId="0" applyFont="1">
      <alignment vertical="center"/>
    </xf>
    <xf numFmtId="0" fontId="0" fillId="0" borderId="0" xfId="0" applyNumberFormat="1" applyFont="1" applyFill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2" fontId="41" fillId="0" borderId="0" xfId="0" applyNumberFormat="1" applyFont="1" applyFill="1" applyBorder="1">
      <alignment vertical="center"/>
    </xf>
    <xf numFmtId="0" fontId="2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78" fontId="31" fillId="3" borderId="7" xfId="0" applyNumberFormat="1" applyFont="1" applyFill="1" applyBorder="1">
      <alignment vertical="center"/>
    </xf>
    <xf numFmtId="0" fontId="29" fillId="0" borderId="0" xfId="0" applyFont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/>
    </xf>
    <xf numFmtId="2" fontId="29" fillId="0" borderId="0" xfId="0" applyNumberFormat="1" applyFont="1">
      <alignment vertical="center"/>
    </xf>
    <xf numFmtId="2" fontId="29" fillId="0" borderId="0" xfId="0" applyNumberFormat="1" applyFont="1" applyFill="1">
      <alignment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>
      <alignment vertical="center"/>
    </xf>
    <xf numFmtId="178" fontId="22" fillId="0" borderId="0" xfId="0" applyNumberFormat="1" applyFont="1" applyFill="1" applyBorder="1">
      <alignment vertical="center"/>
    </xf>
    <xf numFmtId="0" fontId="31" fillId="0" borderId="0" xfId="0" applyFont="1" applyBorder="1">
      <alignment vertical="center"/>
    </xf>
    <xf numFmtId="0" fontId="32" fillId="0" borderId="1" xfId="0" applyFont="1" applyBorder="1" applyAlignment="1">
      <alignment horizontal="right" vertical="center"/>
    </xf>
    <xf numFmtId="0" fontId="0" fillId="0" borderId="0" xfId="0">
      <alignment vertical="center"/>
    </xf>
    <xf numFmtId="178" fontId="29" fillId="0" borderId="0" xfId="0" applyNumberFormat="1" applyFont="1">
      <alignment vertical="center"/>
    </xf>
    <xf numFmtId="0" fontId="0" fillId="0" borderId="0" xfId="0" applyFill="1">
      <alignment vertical="center"/>
    </xf>
    <xf numFmtId="1" fontId="0" fillId="0" borderId="7" xfId="0" applyNumberFormat="1" applyFont="1" applyFill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45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9" fillId="0" borderId="8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1" fontId="0" fillId="0" borderId="0" xfId="0" applyNumberFormat="1" applyFont="1" applyFill="1" applyBorder="1">
      <alignment vertical="center"/>
    </xf>
    <xf numFmtId="2" fontId="33" fillId="0" borderId="0" xfId="0" applyNumberFormat="1" applyFont="1" applyFill="1" applyBorder="1">
      <alignment vertical="center"/>
    </xf>
    <xf numFmtId="0" fontId="44" fillId="0" borderId="0" xfId="0" applyFont="1" applyFill="1" applyBorder="1" applyAlignment="1">
      <alignment horizontal="left" vertical="center"/>
    </xf>
    <xf numFmtId="0" fontId="48" fillId="0" borderId="0" xfId="0" applyFont="1">
      <alignment vertical="center"/>
    </xf>
    <xf numFmtId="0" fontId="39" fillId="0" borderId="0" xfId="0" applyFont="1">
      <alignment vertical="center"/>
    </xf>
    <xf numFmtId="0" fontId="46" fillId="0" borderId="0" xfId="0" applyFont="1">
      <alignment vertical="center"/>
    </xf>
    <xf numFmtId="0" fontId="49" fillId="0" borderId="0" xfId="0" applyFont="1">
      <alignment vertical="center"/>
    </xf>
    <xf numFmtId="0" fontId="38" fillId="0" borderId="0" xfId="0" applyFont="1">
      <alignment vertical="center"/>
    </xf>
    <xf numFmtId="0" fontId="31" fillId="0" borderId="11" xfId="0" applyFont="1" applyBorder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11" xfId="0" applyFont="1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2" fontId="48" fillId="0" borderId="0" xfId="0" applyNumberFormat="1" applyFont="1">
      <alignment vertical="center"/>
    </xf>
    <xf numFmtId="2" fontId="0" fillId="0" borderId="6" xfId="0" applyNumberFormat="1" applyFont="1" applyFill="1" applyBorder="1">
      <alignment vertical="center"/>
    </xf>
    <xf numFmtId="0" fontId="52" fillId="0" borderId="1" xfId="0" applyFont="1" applyBorder="1" applyAlignment="1">
      <alignment horizontal="right" vertical="center"/>
    </xf>
    <xf numFmtId="176" fontId="31" fillId="0" borderId="0" xfId="0" applyNumberFormat="1" applyFont="1" applyBorder="1">
      <alignment vertical="center"/>
    </xf>
    <xf numFmtId="176" fontId="53" fillId="0" borderId="6" xfId="0" applyNumberFormat="1" applyFont="1" applyBorder="1">
      <alignment vertical="center"/>
    </xf>
    <xf numFmtId="2" fontId="0" fillId="0" borderId="6" xfId="0" applyNumberFormat="1" applyFont="1" applyFill="1" applyBorder="1" applyAlignment="1">
      <alignment horizontal="right" vertical="center"/>
    </xf>
    <xf numFmtId="2" fontId="31" fillId="0" borderId="0" xfId="0" applyNumberFormat="1" applyFont="1" applyBorder="1">
      <alignment vertical="center"/>
    </xf>
    <xf numFmtId="2" fontId="51" fillId="0" borderId="9" xfId="0" applyNumberFormat="1" applyFont="1" applyBorder="1">
      <alignment vertical="center"/>
    </xf>
    <xf numFmtId="0" fontId="0" fillId="0" borderId="12" xfId="0" applyFont="1" applyFill="1" applyBorder="1">
      <alignment vertical="center"/>
    </xf>
    <xf numFmtId="1" fontId="48" fillId="0" borderId="0" xfId="0" applyNumberFormat="1" applyFont="1">
      <alignment vertical="center"/>
    </xf>
    <xf numFmtId="0" fontId="21" fillId="4" borderId="1" xfId="0" applyFont="1" applyFill="1" applyBorder="1" applyAlignment="1">
      <alignment horizontal="center" vertical="center"/>
    </xf>
    <xf numFmtId="1" fontId="24" fillId="0" borderId="6" xfId="0" applyNumberFormat="1" applyFont="1" applyFill="1" applyBorder="1" applyAlignment="1">
      <alignment horizontal="right" vertical="center"/>
    </xf>
    <xf numFmtId="1" fontId="29" fillId="0" borderId="0" xfId="0" applyNumberFormat="1" applyFont="1" applyFill="1">
      <alignment vertical="center"/>
    </xf>
    <xf numFmtId="2" fontId="24" fillId="0" borderId="6" xfId="0" applyNumberFormat="1" applyFont="1" applyFill="1" applyBorder="1" applyAlignment="1">
      <alignment horizontal="right" vertical="center"/>
    </xf>
    <xf numFmtId="0" fontId="52" fillId="0" borderId="10" xfId="0" applyFont="1" applyBorder="1" applyAlignment="1">
      <alignment horizontal="right" vertical="center"/>
    </xf>
    <xf numFmtId="176" fontId="31" fillId="0" borderId="3" xfId="0" applyNumberFormat="1" applyFont="1" applyBorder="1">
      <alignment vertical="center"/>
    </xf>
    <xf numFmtId="176" fontId="53" fillId="0" borderId="4" xfId="0" applyNumberFormat="1" applyFont="1" applyBorder="1">
      <alignment vertical="center"/>
    </xf>
    <xf numFmtId="0" fontId="52" fillId="0" borderId="11" xfId="0" applyFont="1" applyBorder="1" applyAlignment="1">
      <alignment horizontal="right" vertical="center"/>
    </xf>
    <xf numFmtId="2" fontId="31" fillId="0" borderId="7" xfId="0" applyNumberFormat="1" applyFont="1" applyBorder="1">
      <alignment vertical="center"/>
    </xf>
    <xf numFmtId="0" fontId="21" fillId="4" borderId="11" xfId="0" applyFont="1" applyFill="1" applyBorder="1" applyAlignment="1">
      <alignment horizontal="center" vertical="center"/>
    </xf>
    <xf numFmtId="1" fontId="24" fillId="0" borderId="9" xfId="0" applyNumberFormat="1" applyFont="1" applyFill="1" applyBorder="1" applyAlignment="1">
      <alignment horizontal="right" vertical="center"/>
    </xf>
    <xf numFmtId="0" fontId="0" fillId="4" borderId="10" xfId="0" applyFill="1" applyBorder="1" applyAlignment="1">
      <alignment horizontal="left" vertical="center"/>
    </xf>
    <xf numFmtId="0" fontId="31" fillId="4" borderId="1" xfId="0" applyFont="1" applyFill="1" applyBorder="1" applyAlignment="1">
      <alignment horizontal="right" vertical="center"/>
    </xf>
    <xf numFmtId="178" fontId="34" fillId="0" borderId="0" xfId="0" applyNumberFormat="1" applyFont="1" applyFill="1" applyBorder="1">
      <alignment vertical="center"/>
    </xf>
    <xf numFmtId="0" fontId="0" fillId="0" borderId="12" xfId="0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178" fontId="33" fillId="0" borderId="0" xfId="0" applyNumberFormat="1" applyFont="1" applyBorder="1">
      <alignment vertical="center"/>
    </xf>
    <xf numFmtId="0" fontId="50" fillId="0" borderId="11" xfId="0" applyFont="1" applyBorder="1" applyAlignment="1">
      <alignment horizontal="right" vertical="center"/>
    </xf>
    <xf numFmtId="177" fontId="31" fillId="0" borderId="7" xfId="0" applyNumberFormat="1" applyFont="1" applyBorder="1">
      <alignment vertical="center"/>
    </xf>
    <xf numFmtId="0" fontId="32" fillId="0" borderId="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1" fillId="0" borderId="6" xfId="0" applyFont="1" applyBorder="1">
      <alignment vertical="center"/>
    </xf>
    <xf numFmtId="0" fontId="0" fillId="0" borderId="0" xfId="0" applyFont="1" applyAlignment="1">
      <alignment horizontal="right" vertical="center"/>
    </xf>
    <xf numFmtId="2" fontId="0" fillId="0" borderId="9" xfId="0" applyNumberFormat="1" applyBorder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54" fillId="2" borderId="0" xfId="0" quotePrefix="1" applyNumberFormat="1" applyFont="1" applyFill="1" applyBorder="1" applyAlignment="1">
      <alignment horizontal="left" vertical="center"/>
    </xf>
    <xf numFmtId="0" fontId="0" fillId="2" borderId="0" xfId="0" quotePrefix="1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9" fillId="2" borderId="0" xfId="0" applyFont="1" applyFill="1">
      <alignment vertical="center"/>
    </xf>
    <xf numFmtId="178" fontId="31" fillId="0" borderId="0" xfId="0" applyNumberFormat="1" applyFont="1" applyFill="1" applyBorder="1">
      <alignment vertical="center"/>
    </xf>
    <xf numFmtId="178" fontId="29" fillId="0" borderId="0" xfId="0" applyNumberFormat="1" applyFont="1" applyBorder="1">
      <alignment vertical="center"/>
    </xf>
    <xf numFmtId="178" fontId="29" fillId="0" borderId="0" xfId="0" applyNumberFormat="1" applyFont="1" applyFill="1" applyBorder="1">
      <alignment vertical="center"/>
    </xf>
    <xf numFmtId="0" fontId="29" fillId="0" borderId="5" xfId="0" applyFont="1" applyFill="1" applyBorder="1" applyAlignment="1">
      <alignment horizontal="center" vertical="center"/>
    </xf>
    <xf numFmtId="2" fontId="0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43" fillId="0" borderId="0" xfId="0" applyFont="1" applyBorder="1" applyAlignment="1">
      <alignment horizontal="center" vertical="center"/>
    </xf>
    <xf numFmtId="178" fontId="51" fillId="0" borderId="0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>
      <alignment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21" fillId="5" borderId="11" xfId="0" applyFont="1" applyFill="1" applyBorder="1" applyAlignment="1">
      <alignment horizontal="right" vertical="center"/>
    </xf>
    <xf numFmtId="0" fontId="0" fillId="0" borderId="11" xfId="0" applyFill="1" applyBorder="1">
      <alignment vertical="center"/>
    </xf>
    <xf numFmtId="0" fontId="45" fillId="0" borderId="0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178" fontId="0" fillId="0" borderId="0" xfId="0" applyNumberFormat="1">
      <alignment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11" fontId="0" fillId="0" borderId="0" xfId="0" quotePrefix="1" applyNumberFormat="1" applyAlignment="1"/>
    <xf numFmtId="0" fontId="58" fillId="0" borderId="0" xfId="0" applyFont="1" applyAlignment="1">
      <alignment vertical="center"/>
    </xf>
    <xf numFmtId="0" fontId="58" fillId="0" borderId="0" xfId="0" applyFont="1">
      <alignment vertical="center"/>
    </xf>
    <xf numFmtId="0" fontId="58" fillId="0" borderId="0" xfId="0" applyFont="1" applyAlignment="1">
      <alignment horizontal="left" vertical="center"/>
    </xf>
    <xf numFmtId="0" fontId="58" fillId="0" borderId="0" xfId="0" quotePrefix="1" applyFont="1">
      <alignment vertical="center"/>
    </xf>
    <xf numFmtId="0" fontId="29" fillId="0" borderId="11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57" fillId="0" borderId="14" xfId="0" applyFont="1" applyFill="1" applyBorder="1" applyAlignment="1">
      <alignment horizontal="left" vertical="center"/>
    </xf>
    <xf numFmtId="0" fontId="29" fillId="0" borderId="3" xfId="0" quotePrefix="1" applyFont="1" applyBorder="1">
      <alignment vertical="center"/>
    </xf>
    <xf numFmtId="0" fontId="29" fillId="0" borderId="4" xfId="0" applyFont="1" applyBorder="1">
      <alignment vertical="center"/>
    </xf>
    <xf numFmtId="0" fontId="29" fillId="0" borderId="6" xfId="0" applyFont="1" applyBorder="1">
      <alignment vertical="center"/>
    </xf>
    <xf numFmtId="0" fontId="50" fillId="0" borderId="9" xfId="0" applyFont="1" applyBorder="1" applyAlignment="1">
      <alignment horizontal="center" vertical="center"/>
    </xf>
    <xf numFmtId="0" fontId="29" fillId="0" borderId="0" xfId="0" applyFont="1" applyFill="1" applyBorder="1">
      <alignment vertical="center"/>
    </xf>
    <xf numFmtId="0" fontId="0" fillId="0" borderId="0" xfId="0" quotePrefix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8" fontId="34" fillId="0" borderId="3" xfId="0" applyNumberFormat="1" applyFont="1" applyFill="1" applyBorder="1">
      <alignment vertical="center"/>
    </xf>
    <xf numFmtId="2" fontId="29" fillId="0" borderId="0" xfId="0" applyNumberFormat="1" applyFont="1" applyFill="1" applyBorder="1">
      <alignment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21" fillId="0" borderId="0" xfId="0" applyFont="1" applyFill="1" applyBorder="1">
      <alignment vertical="center"/>
    </xf>
    <xf numFmtId="178" fontId="0" fillId="0" borderId="6" xfId="0" applyNumberFormat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178" fontId="0" fillId="0" borderId="9" xfId="0" applyNumberFormat="1" applyBorder="1">
      <alignment vertical="center"/>
    </xf>
    <xf numFmtId="0" fontId="0" fillId="0" borderId="12" xfId="0" applyFont="1" applyFill="1" applyBorder="1" applyAlignment="1">
      <alignment horizontal="center" vertical="center"/>
    </xf>
    <xf numFmtId="0" fontId="29" fillId="0" borderId="2" xfId="0" applyFont="1" applyBorder="1">
      <alignment vertical="center"/>
    </xf>
    <xf numFmtId="0" fontId="29" fillId="0" borderId="9" xfId="0" applyFont="1" applyBorder="1">
      <alignment vertical="center"/>
    </xf>
    <xf numFmtId="0" fontId="21" fillId="0" borderId="6" xfId="0" applyFont="1" applyFill="1" applyBorder="1">
      <alignment vertical="center"/>
    </xf>
    <xf numFmtId="0" fontId="0" fillId="0" borderId="1" xfId="0" applyFill="1" applyBorder="1">
      <alignment vertical="center"/>
    </xf>
    <xf numFmtId="0" fontId="29" fillId="0" borderId="7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178" fontId="0" fillId="0" borderId="9" xfId="0" applyNumberFormat="1" applyFont="1" applyFill="1" applyBorder="1">
      <alignment vertical="center"/>
    </xf>
    <xf numFmtId="0" fontId="21" fillId="6" borderId="11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29" fillId="0" borderId="0" xfId="0" applyFont="1" applyBorder="1">
      <alignment vertical="center"/>
    </xf>
    <xf numFmtId="0" fontId="0" fillId="2" borderId="0" xfId="0" applyFill="1" applyBorder="1">
      <alignment vertical="center"/>
    </xf>
    <xf numFmtId="11" fontId="0" fillId="2" borderId="0" xfId="0" applyNumberFormat="1" applyFill="1" applyBorder="1" applyAlignment="1">
      <alignment horizontal="right"/>
    </xf>
    <xf numFmtId="0" fontId="29" fillId="2" borderId="0" xfId="0" applyFont="1" applyFill="1" applyBorder="1">
      <alignment vertical="center"/>
    </xf>
    <xf numFmtId="0" fontId="50" fillId="2" borderId="0" xfId="0" applyFont="1" applyFill="1" applyBorder="1" applyAlignment="1">
      <alignment horizontal="left" vertical="center"/>
    </xf>
    <xf numFmtId="0" fontId="24" fillId="2" borderId="0" xfId="0" applyFont="1" applyFill="1" applyBorder="1">
      <alignment vertical="center"/>
    </xf>
    <xf numFmtId="0" fontId="50" fillId="2" borderId="0" xfId="0" applyFont="1" applyFill="1" applyBorder="1">
      <alignment vertical="center"/>
    </xf>
    <xf numFmtId="0" fontId="29" fillId="0" borderId="3" xfId="0" applyFont="1" applyBorder="1">
      <alignment vertical="center"/>
    </xf>
    <xf numFmtId="180" fontId="29" fillId="0" borderId="0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>
      <alignment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left" vertical="center"/>
    </xf>
    <xf numFmtId="0" fontId="62" fillId="0" borderId="0" xfId="0" applyFont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23" fillId="0" borderId="1" xfId="0" applyFont="1" applyBorder="1">
      <alignment vertical="center"/>
    </xf>
    <xf numFmtId="0" fontId="39" fillId="2" borderId="0" xfId="0" applyFont="1" applyFill="1">
      <alignment vertical="center"/>
    </xf>
    <xf numFmtId="178" fontId="64" fillId="0" borderId="0" xfId="0" applyNumberFormat="1" applyFont="1" applyBorder="1" applyAlignment="1">
      <alignment horizontal="right" vertical="center"/>
    </xf>
    <xf numFmtId="0" fontId="64" fillId="0" borderId="0" xfId="0" applyFont="1" applyAlignment="1">
      <alignment horizontal="right" vertical="center"/>
    </xf>
    <xf numFmtId="1" fontId="60" fillId="0" borderId="0" xfId="0" applyNumberFormat="1" applyFont="1" applyBorder="1">
      <alignment vertical="center"/>
    </xf>
    <xf numFmtId="0" fontId="65" fillId="0" borderId="0" xfId="0" applyFont="1" applyFill="1" applyBorder="1" applyAlignment="1">
      <alignment horizontal="left" vertical="center"/>
    </xf>
    <xf numFmtId="181" fontId="66" fillId="0" borderId="18" xfId="0" applyNumberFormat="1" applyFont="1" applyBorder="1" applyAlignment="1">
      <alignment horizontal="right" vertical="center"/>
    </xf>
    <xf numFmtId="0" fontId="66" fillId="0" borderId="0" xfId="0" applyFont="1" applyAlignment="1">
      <alignment horizontal="right" vertical="center"/>
    </xf>
    <xf numFmtId="1" fontId="60" fillId="0" borderId="0" xfId="3" applyNumberFormat="1" applyFont="1" applyBorder="1" applyAlignment="1">
      <alignment horizontal="right" vertical="center"/>
    </xf>
    <xf numFmtId="178" fontId="67" fillId="0" borderId="0" xfId="0" applyNumberFormat="1" applyFont="1" applyFill="1" applyBorder="1">
      <alignment vertical="center"/>
    </xf>
    <xf numFmtId="2" fontId="0" fillId="0" borderId="0" xfId="0" applyNumberFormat="1" applyFill="1" applyBorder="1">
      <alignment vertical="center"/>
    </xf>
    <xf numFmtId="0" fontId="48" fillId="0" borderId="0" xfId="0" applyFont="1" applyFill="1" applyBorder="1" applyAlignment="1">
      <alignment horizontal="right" vertical="center"/>
    </xf>
    <xf numFmtId="181" fontId="66" fillId="0" borderId="19" xfId="3" applyNumberFormat="1" applyFont="1" applyBorder="1" applyAlignment="1">
      <alignment horizontal="right" vertical="center"/>
    </xf>
    <xf numFmtId="2" fontId="66" fillId="0" borderId="0" xfId="0" applyNumberFormat="1" applyFont="1">
      <alignment vertical="center"/>
    </xf>
    <xf numFmtId="178" fontId="31" fillId="0" borderId="0" xfId="0" applyNumberFormat="1" applyFont="1" applyBorder="1">
      <alignment vertical="center"/>
    </xf>
    <xf numFmtId="180" fontId="66" fillId="0" borderId="20" xfId="3" applyNumberFormat="1" applyFont="1" applyBorder="1" applyAlignment="1">
      <alignment horizontal="right" vertical="center"/>
    </xf>
    <xf numFmtId="1" fontId="0" fillId="0" borderId="0" xfId="0" applyNumberFormat="1">
      <alignment vertical="center"/>
    </xf>
    <xf numFmtId="1" fontId="29" fillId="0" borderId="0" xfId="0" applyNumberFormat="1" applyFont="1" applyBorder="1">
      <alignment vertical="center"/>
    </xf>
    <xf numFmtId="0" fontId="69" fillId="0" borderId="0" xfId="0" applyFont="1" applyAlignment="1">
      <alignment horizontal="right" vertical="center"/>
    </xf>
    <xf numFmtId="11" fontId="6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70" fillId="0" borderId="0" xfId="0" applyFont="1">
      <alignment vertical="center"/>
    </xf>
    <xf numFmtId="0" fontId="29" fillId="0" borderId="0" xfId="0" applyFont="1" applyFill="1">
      <alignment vertical="center"/>
    </xf>
    <xf numFmtId="178" fontId="71" fillId="0" borderId="0" xfId="0" applyNumberFormat="1" applyFont="1" applyFill="1" applyBorder="1">
      <alignment vertical="center"/>
    </xf>
    <xf numFmtId="178" fontId="50" fillId="0" borderId="0" xfId="0" applyNumberFormat="1" applyFont="1">
      <alignment vertical="center"/>
    </xf>
    <xf numFmtId="0" fontId="29" fillId="0" borderId="5" xfId="0" applyFont="1" applyBorder="1">
      <alignment vertical="center"/>
    </xf>
    <xf numFmtId="178" fontId="72" fillId="0" borderId="4" xfId="0" applyNumberFormat="1" applyFont="1" applyFill="1" applyBorder="1">
      <alignment vertical="center"/>
    </xf>
    <xf numFmtId="0" fontId="73" fillId="0" borderId="0" xfId="0" applyFont="1" applyBorder="1" applyAlignment="1">
      <alignment horizontal="right" vertical="center"/>
    </xf>
    <xf numFmtId="0" fontId="74" fillId="0" borderId="0" xfId="0" applyFont="1" applyAlignment="1">
      <alignment horizontal="right" vertical="center"/>
    </xf>
    <xf numFmtId="0" fontId="74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center"/>
    </xf>
    <xf numFmtId="0" fontId="55" fillId="0" borderId="6" xfId="0" applyFont="1" applyBorder="1" applyAlignment="1">
      <alignment horizontal="center" vertical="center"/>
    </xf>
    <xf numFmtId="178" fontId="77" fillId="0" borderId="12" xfId="0" applyNumberFormat="1" applyFont="1" applyFill="1" applyBorder="1">
      <alignment vertical="center"/>
    </xf>
    <xf numFmtId="2" fontId="29" fillId="0" borderId="0" xfId="0" applyNumberFormat="1" applyFont="1" applyFill="1" applyBorder="1" applyAlignment="1">
      <alignment horizontal="right" vertical="center"/>
    </xf>
    <xf numFmtId="0" fontId="43" fillId="0" borderId="1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78" fillId="0" borderId="3" xfId="0" applyFont="1" applyFill="1" applyBorder="1" applyAlignment="1">
      <alignment horizontal="center" vertical="center"/>
    </xf>
    <xf numFmtId="0" fontId="78" fillId="0" borderId="4" xfId="0" applyFont="1" applyBorder="1" applyAlignment="1">
      <alignment horizontal="center" vertical="center"/>
    </xf>
    <xf numFmtId="1" fontId="29" fillId="0" borderId="5" xfId="0" applyNumberFormat="1" applyFont="1" applyBorder="1">
      <alignment vertical="center"/>
    </xf>
    <xf numFmtId="1" fontId="50" fillId="0" borderId="0" xfId="0" applyNumberFormat="1" applyFont="1" applyBorder="1">
      <alignment vertical="center"/>
    </xf>
    <xf numFmtId="1" fontId="29" fillId="0" borderId="0" xfId="0" applyNumberFormat="1" applyFont="1" applyFill="1" applyBorder="1">
      <alignment vertical="center"/>
    </xf>
    <xf numFmtId="1" fontId="29" fillId="0" borderId="6" xfId="0" applyNumberFormat="1" applyFont="1" applyFill="1" applyBorder="1">
      <alignment vertical="center"/>
    </xf>
    <xf numFmtId="0" fontId="45" fillId="0" borderId="11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29" fillId="0" borderId="7" xfId="0" applyNumberFormat="1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78" fillId="0" borderId="8" xfId="0" applyFont="1" applyBorder="1">
      <alignment vertical="center"/>
    </xf>
    <xf numFmtId="11" fontId="69" fillId="0" borderId="0" xfId="0" applyNumberFormat="1" applyFont="1" applyFill="1" applyAlignment="1">
      <alignment horizontal="right" vertical="center"/>
    </xf>
    <xf numFmtId="178" fontId="75" fillId="0" borderId="0" xfId="0" applyNumberFormat="1" applyFont="1" applyFill="1" applyBorder="1">
      <alignment vertical="center"/>
    </xf>
    <xf numFmtId="2" fontId="29" fillId="0" borderId="0" xfId="0" applyNumberFormat="1" applyFont="1" applyBorder="1">
      <alignment vertical="center"/>
    </xf>
    <xf numFmtId="0" fontId="0" fillId="0" borderId="21" xfId="0" applyFill="1" applyBorder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1" fontId="69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>
      <alignment vertical="center"/>
    </xf>
    <xf numFmtId="178" fontId="80" fillId="0" borderId="0" xfId="0" applyNumberFormat="1" applyFont="1" applyFill="1" applyBorder="1" applyAlignment="1">
      <alignment horizontal="left" vertical="center"/>
    </xf>
    <xf numFmtId="0" fontId="79" fillId="0" borderId="0" xfId="0" applyFont="1" applyBorder="1" applyAlignment="1">
      <alignment horizontal="left" vertical="center"/>
    </xf>
    <xf numFmtId="179" fontId="63" fillId="2" borderId="0" xfId="0" applyNumberFormat="1" applyFont="1" applyFill="1" applyBorder="1" applyAlignment="1"/>
    <xf numFmtId="179" fontId="63" fillId="2" borderId="0" xfId="0" applyNumberFormat="1" applyFont="1" applyFill="1" applyBorder="1" applyAlignment="1">
      <alignment horizontal="right"/>
    </xf>
    <xf numFmtId="0" fontId="29" fillId="0" borderId="0" xfId="0" applyNumberFormat="1" applyFont="1" applyFill="1" applyBorder="1" applyAlignment="1">
      <alignment horizontal="center" vertical="center"/>
    </xf>
    <xf numFmtId="0" fontId="78" fillId="0" borderId="0" xfId="0" applyFont="1" applyFill="1" applyBorder="1">
      <alignment vertical="center"/>
    </xf>
    <xf numFmtId="2" fontId="0" fillId="0" borderId="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2" fontId="0" fillId="0" borderId="7" xfId="0" applyNumberFormat="1" applyFont="1" applyFill="1" applyBorder="1">
      <alignment vertical="center"/>
    </xf>
    <xf numFmtId="2" fontId="0" fillId="0" borderId="9" xfId="0" applyNumberFormat="1" applyFont="1" applyFill="1" applyBorder="1">
      <alignment vertical="center"/>
    </xf>
    <xf numFmtId="0" fontId="81" fillId="0" borderId="3" xfId="0" applyFont="1" applyBorder="1">
      <alignment vertical="center"/>
    </xf>
    <xf numFmtId="0" fontId="52" fillId="0" borderId="24" xfId="0" applyFont="1" applyBorder="1" applyAlignment="1">
      <alignment horizontal="right" vertical="center"/>
    </xf>
    <xf numFmtId="0" fontId="52" fillId="0" borderId="26" xfId="0" applyFont="1" applyBorder="1" applyAlignment="1">
      <alignment horizontal="right" vertical="center"/>
    </xf>
    <xf numFmtId="0" fontId="68" fillId="0" borderId="28" xfId="3" applyFont="1" applyBorder="1" applyAlignment="1">
      <alignment horizontal="right" vertical="center"/>
    </xf>
    <xf numFmtId="0" fontId="38" fillId="0" borderId="24" xfId="0" applyNumberFormat="1" applyFont="1" applyBorder="1" applyAlignment="1">
      <alignment horizontal="right" vertical="center"/>
    </xf>
    <xf numFmtId="1" fontId="60" fillId="0" borderId="25" xfId="0" applyNumberFormat="1" applyFont="1" applyBorder="1">
      <alignment vertical="center"/>
    </xf>
    <xf numFmtId="0" fontId="38" fillId="0" borderId="28" xfId="0" applyNumberFormat="1" applyFont="1" applyBorder="1" applyAlignment="1">
      <alignment horizontal="right" vertical="center"/>
    </xf>
    <xf numFmtId="0" fontId="0" fillId="0" borderId="30" xfId="0" applyFont="1" applyFill="1" applyBorder="1">
      <alignment vertical="center"/>
    </xf>
    <xf numFmtId="0" fontId="0" fillId="0" borderId="31" xfId="0" applyFont="1" applyFill="1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11" fontId="69" fillId="2" borderId="0" xfId="0" applyNumberFormat="1" applyFont="1" applyFill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0" fontId="31" fillId="0" borderId="0" xfId="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right" vertical="center"/>
    </xf>
    <xf numFmtId="2" fontId="31" fillId="0" borderId="0" xfId="0" applyNumberFormat="1" applyFont="1" applyFill="1" applyBorder="1">
      <alignment vertical="center"/>
    </xf>
    <xf numFmtId="0" fontId="32" fillId="0" borderId="0" xfId="0" applyFont="1" applyFill="1" applyBorder="1" applyAlignment="1">
      <alignment horizontal="center" vertical="center"/>
    </xf>
    <xf numFmtId="0" fontId="54" fillId="2" borderId="0" xfId="0" applyFont="1" applyFill="1">
      <alignment vertical="center"/>
    </xf>
    <xf numFmtId="178" fontId="34" fillId="0" borderId="7" xfId="0" applyNumberFormat="1" applyFont="1" applyBorder="1">
      <alignment vertical="center"/>
    </xf>
    <xf numFmtId="2" fontId="29" fillId="0" borderId="0" xfId="0" applyNumberFormat="1" applyFont="1" applyFill="1" applyBorder="1" applyAlignment="1">
      <alignment horizontal="center" vertical="center"/>
    </xf>
    <xf numFmtId="1" fontId="82" fillId="0" borderId="0" xfId="0" applyNumberFormat="1" applyFont="1" applyFill="1" applyBorder="1" applyAlignment="1">
      <alignment horizontal="center" vertical="center"/>
    </xf>
    <xf numFmtId="1" fontId="82" fillId="0" borderId="0" xfId="0" applyNumberFormat="1" applyFont="1" applyBorder="1" applyAlignment="1">
      <alignment horizontal="center" vertical="center"/>
    </xf>
    <xf numFmtId="0" fontId="83" fillId="0" borderId="0" xfId="94" applyFont="1">
      <alignment vertical="center"/>
    </xf>
    <xf numFmtId="0" fontId="0" fillId="0" borderId="0" xfId="0" applyAlignment="1">
      <alignment horizontal="right" vertical="center"/>
    </xf>
    <xf numFmtId="2" fontId="84" fillId="0" borderId="7" xfId="0" applyNumberFormat="1" applyFont="1" applyBorder="1">
      <alignment vertical="center"/>
    </xf>
    <xf numFmtId="0" fontId="85" fillId="0" borderId="0" xfId="0" applyFont="1" applyAlignment="1">
      <alignment horizontal="center" vertical="center"/>
    </xf>
    <xf numFmtId="1" fontId="77" fillId="0" borderId="12" xfId="0" applyNumberFormat="1" applyFont="1" applyFill="1" applyBorder="1">
      <alignment vertical="center"/>
    </xf>
    <xf numFmtId="1" fontId="69" fillId="0" borderId="0" xfId="0" applyNumberFormat="1" applyFont="1" applyAlignment="1">
      <alignment horizontal="right" vertical="center"/>
    </xf>
    <xf numFmtId="181" fontId="66" fillId="0" borderId="0" xfId="0" applyNumberFormat="1" applyFont="1" applyBorder="1" applyAlignment="1">
      <alignment horizontal="right" vertical="center"/>
    </xf>
    <xf numFmtId="181" fontId="66" fillId="0" borderId="0" xfId="3" applyNumberFormat="1" applyFont="1" applyBorder="1" applyAlignment="1">
      <alignment horizontal="right" vertical="center"/>
    </xf>
    <xf numFmtId="180" fontId="66" fillId="0" borderId="0" xfId="3" applyNumberFormat="1" applyFont="1" applyBorder="1" applyAlignment="1">
      <alignment horizontal="right" vertical="center"/>
    </xf>
    <xf numFmtId="1" fontId="0" fillId="0" borderId="0" xfId="0" applyNumberFormat="1" applyBorder="1">
      <alignment vertical="center"/>
    </xf>
    <xf numFmtId="0" fontId="23" fillId="0" borderId="0" xfId="0" applyFont="1" applyBorder="1" applyAlignment="1">
      <alignment horizontal="right" vertical="center"/>
    </xf>
    <xf numFmtId="1" fontId="86" fillId="0" borderId="12" xfId="0" applyNumberFormat="1" applyFont="1" applyFill="1" applyBorder="1">
      <alignment vertical="center"/>
    </xf>
    <xf numFmtId="0" fontId="73" fillId="0" borderId="0" xfId="0" applyFont="1" applyFill="1" applyBorder="1" applyAlignment="1">
      <alignment horizontal="right" vertical="center"/>
    </xf>
    <xf numFmtId="0" fontId="74" fillId="0" borderId="0" xfId="0" applyFont="1" applyFill="1" applyAlignment="1">
      <alignment horizontal="right" vertical="center"/>
    </xf>
    <xf numFmtId="0" fontId="86" fillId="0" borderId="0" xfId="0" applyFont="1" applyFill="1" applyBorder="1" applyAlignment="1">
      <alignment horizontal="right" vertical="center"/>
    </xf>
    <xf numFmtId="177" fontId="0" fillId="0" borderId="0" xfId="0" applyNumberFormat="1" applyBorder="1">
      <alignment vertical="center"/>
    </xf>
    <xf numFmtId="178" fontId="87" fillId="0" borderId="0" xfId="0" applyNumberFormat="1" applyFont="1" applyFill="1" applyBorder="1">
      <alignment vertical="center"/>
    </xf>
    <xf numFmtId="0" fontId="58" fillId="0" borderId="0" xfId="0" applyFont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4" fillId="0" borderId="0" xfId="0" applyFont="1" applyFill="1" applyBorder="1" applyAlignment="1">
      <alignment horizontal="right" vertical="center"/>
    </xf>
    <xf numFmtId="178" fontId="51" fillId="0" borderId="0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178" fontId="22" fillId="5" borderId="0" xfId="0" applyNumberFormat="1" applyFont="1" applyFill="1" applyBorder="1">
      <alignment vertical="center"/>
    </xf>
    <xf numFmtId="2" fontId="41" fillId="5" borderId="0" xfId="0" applyNumberFormat="1" applyFont="1" applyFill="1" applyBorder="1">
      <alignment vertical="center"/>
    </xf>
    <xf numFmtId="177" fontId="0" fillId="5" borderId="0" xfId="0" applyNumberFormat="1" applyFill="1" applyBorder="1">
      <alignment vertical="center"/>
    </xf>
    <xf numFmtId="0" fontId="0" fillId="5" borderId="0" xfId="0" applyFill="1" applyBorder="1">
      <alignment vertical="center"/>
    </xf>
    <xf numFmtId="0" fontId="45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32" fillId="5" borderId="0" xfId="0" applyFont="1" applyFill="1" applyBorder="1" applyAlignment="1">
      <alignment horizontal="right" vertical="center"/>
    </xf>
    <xf numFmtId="0" fontId="0" fillId="5" borderId="0" xfId="0" applyFont="1" applyFill="1" applyBorder="1" applyAlignment="1">
      <alignment horizontal="right" vertical="center"/>
    </xf>
    <xf numFmtId="0" fontId="45" fillId="5" borderId="0" xfId="0" quotePrefix="1" applyFont="1" applyFill="1" applyBorder="1" applyAlignment="1">
      <alignment horizontal="center" vertical="center"/>
    </xf>
    <xf numFmtId="178" fontId="88" fillId="0" borderId="0" xfId="0" quotePrefix="1" applyNumberFormat="1" applyFont="1" applyFill="1" applyBorder="1">
      <alignment vertical="center"/>
    </xf>
    <xf numFmtId="0" fontId="89" fillId="0" borderId="0" xfId="0" applyFont="1">
      <alignment vertical="center"/>
    </xf>
    <xf numFmtId="0" fontId="60" fillId="0" borderId="0" xfId="0" applyFont="1">
      <alignment vertical="center"/>
    </xf>
    <xf numFmtId="0" fontId="90" fillId="0" borderId="0" xfId="0" applyFont="1">
      <alignment vertical="center"/>
    </xf>
    <xf numFmtId="0" fontId="29" fillId="4" borderId="8" xfId="0" applyNumberFormat="1" applyFont="1" applyFill="1" applyBorder="1">
      <alignment vertical="center"/>
    </xf>
    <xf numFmtId="0" fontId="29" fillId="4" borderId="7" xfId="0" applyNumberFormat="1" applyFont="1" applyFill="1" applyBorder="1">
      <alignment vertical="center"/>
    </xf>
    <xf numFmtId="0" fontId="61" fillId="4" borderId="7" xfId="0" applyNumberFormat="1" applyFont="1" applyFill="1" applyBorder="1">
      <alignment vertical="center"/>
    </xf>
    <xf numFmtId="0" fontId="29" fillId="0" borderId="0" xfId="0" applyNumberFormat="1" applyFont="1" applyFill="1" applyBorder="1">
      <alignment vertical="center"/>
    </xf>
    <xf numFmtId="0" fontId="61" fillId="0" borderId="0" xfId="0" applyNumberFormat="1" applyFont="1" applyFill="1" applyBorder="1">
      <alignment vertical="center"/>
    </xf>
    <xf numFmtId="0" fontId="29" fillId="0" borderId="0" xfId="0" quotePrefix="1" applyNumberFormat="1" applyFont="1" applyFill="1" applyBorder="1" applyAlignment="1">
      <alignment horizontal="center" vertical="center"/>
    </xf>
    <xf numFmtId="178" fontId="91" fillId="0" borderId="0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1" fontId="50" fillId="0" borderId="0" xfId="0" applyNumberFormat="1" applyFont="1" applyBorder="1">
      <alignment vertical="center"/>
    </xf>
    <xf numFmtId="11" fontId="50" fillId="0" borderId="0" xfId="0" applyNumberFormat="1" applyFont="1" applyFill="1" applyBorder="1" applyAlignment="1">
      <alignment horizontal="right" vertical="center"/>
    </xf>
    <xf numFmtId="180" fontId="30" fillId="0" borderId="0" xfId="3" applyNumberFormat="1" applyFont="1" applyBorder="1" applyAlignment="1">
      <alignment horizontal="right" vertical="center"/>
    </xf>
    <xf numFmtId="184" fontId="29" fillId="0" borderId="0" xfId="0" applyNumberFormat="1" applyFont="1" applyFill="1" applyBorder="1" applyAlignment="1">
      <alignment horizontal="right" vertical="center"/>
    </xf>
    <xf numFmtId="11" fontId="29" fillId="0" borderId="0" xfId="0" applyNumberFormat="1" applyFont="1" applyFill="1" applyBorder="1" applyAlignment="1">
      <alignment horizontal="right" vertical="center"/>
    </xf>
    <xf numFmtId="0" fontId="59" fillId="0" borderId="0" xfId="0" applyFont="1">
      <alignment vertical="center"/>
    </xf>
    <xf numFmtId="0" fontId="32" fillId="0" borderId="0" xfId="0" applyFont="1">
      <alignment vertical="center"/>
    </xf>
    <xf numFmtId="11" fontId="69" fillId="0" borderId="7" xfId="0" applyNumberFormat="1" applyFont="1" applyFill="1" applyBorder="1" applyAlignment="1">
      <alignment horizontal="right" vertical="center"/>
    </xf>
    <xf numFmtId="178" fontId="75" fillId="0" borderId="7" xfId="0" applyNumberFormat="1" applyFont="1" applyFill="1" applyBorder="1">
      <alignment vertical="center"/>
    </xf>
    <xf numFmtId="0" fontId="21" fillId="0" borderId="0" xfId="0" applyFont="1">
      <alignment vertical="center"/>
    </xf>
    <xf numFmtId="0" fontId="0" fillId="0" borderId="35" xfId="0" applyBorder="1" applyAlignment="1">
      <alignment horizontal="right" vertical="center"/>
    </xf>
    <xf numFmtId="0" fontId="0" fillId="0" borderId="39" xfId="0" applyBorder="1">
      <alignment vertical="center"/>
    </xf>
    <xf numFmtId="177" fontId="21" fillId="0" borderId="36" xfId="0" applyNumberFormat="1" applyFont="1" applyBorder="1">
      <alignment vertical="center"/>
    </xf>
    <xf numFmtId="0" fontId="0" fillId="0" borderId="37" xfId="0" applyBorder="1" applyAlignment="1">
      <alignment horizontal="right" vertical="center"/>
    </xf>
    <xf numFmtId="177" fontId="0" fillId="0" borderId="30" xfId="0" applyNumberFormat="1" applyBorder="1">
      <alignment vertical="center"/>
    </xf>
    <xf numFmtId="0" fontId="0" fillId="0" borderId="38" xfId="0" applyBorder="1" applyAlignment="1">
      <alignment horizontal="right" vertical="center"/>
    </xf>
    <xf numFmtId="0" fontId="0" fillId="0" borderId="31" xfId="0" applyBorder="1">
      <alignment vertical="center"/>
    </xf>
    <xf numFmtId="177" fontId="0" fillId="0" borderId="32" xfId="0" applyNumberFormat="1" applyBorder="1">
      <alignment vertical="center"/>
    </xf>
    <xf numFmtId="0" fontId="0" fillId="0" borderId="35" xfId="0" applyBorder="1">
      <alignment vertical="center"/>
    </xf>
    <xf numFmtId="0" fontId="0" fillId="0" borderId="39" xfId="0" applyBorder="1" applyAlignment="1">
      <alignment horizontal="right" vertical="center"/>
    </xf>
    <xf numFmtId="177" fontId="0" fillId="0" borderId="36" xfId="0" applyNumberFormat="1" applyBorder="1">
      <alignment vertical="center"/>
    </xf>
    <xf numFmtId="0" fontId="0" fillId="0" borderId="38" xfId="0" applyBorder="1">
      <alignment vertical="center"/>
    </xf>
    <xf numFmtId="0" fontId="59" fillId="0" borderId="31" xfId="0" applyFont="1" applyBorder="1" applyAlignment="1">
      <alignment horizontal="right" vertical="center"/>
    </xf>
    <xf numFmtId="182" fontId="92" fillId="0" borderId="32" xfId="0" applyNumberFormat="1" applyFont="1" applyBorder="1">
      <alignment vertical="center"/>
    </xf>
    <xf numFmtId="0" fontId="78" fillId="0" borderId="4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2" fontId="0" fillId="0" borderId="0" xfId="0" applyNumberFormat="1" applyBorder="1">
      <alignment vertical="center"/>
    </xf>
    <xf numFmtId="178" fontId="79" fillId="0" borderId="0" xfId="0" applyNumberFormat="1" applyFont="1" applyBorder="1" applyAlignment="1">
      <alignment horizontal="left" vertical="center"/>
    </xf>
    <xf numFmtId="0" fontId="79" fillId="0" borderId="0" xfId="0" applyFont="1" applyBorder="1">
      <alignment vertical="center"/>
    </xf>
    <xf numFmtId="49" fontId="79" fillId="0" borderId="0" xfId="0" applyNumberFormat="1" applyFont="1" applyBorder="1">
      <alignment vertical="center"/>
    </xf>
    <xf numFmtId="49" fontId="29" fillId="0" borderId="0" xfId="0" applyNumberFormat="1" applyFont="1" applyBorder="1">
      <alignment vertical="center"/>
    </xf>
    <xf numFmtId="11" fontId="69" fillId="0" borderId="2" xfId="0" applyNumberFormat="1" applyFont="1" applyFill="1" applyBorder="1" applyAlignment="1">
      <alignment horizontal="right" vertical="center"/>
    </xf>
    <xf numFmtId="11" fontId="69" fillId="0" borderId="3" xfId="0" applyNumberFormat="1" applyFont="1" applyFill="1" applyBorder="1" applyAlignment="1">
      <alignment horizontal="right" vertical="center"/>
    </xf>
    <xf numFmtId="178" fontId="75" fillId="0" borderId="3" xfId="0" applyNumberFormat="1" applyFont="1" applyFill="1" applyBorder="1">
      <alignment vertical="center"/>
    </xf>
    <xf numFmtId="2" fontId="75" fillId="0" borderId="4" xfId="0" applyNumberFormat="1" applyFont="1" applyFill="1" applyBorder="1">
      <alignment vertical="center"/>
    </xf>
    <xf numFmtId="11" fontId="69" fillId="0" borderId="5" xfId="0" applyNumberFormat="1" applyFont="1" applyFill="1" applyBorder="1" applyAlignment="1">
      <alignment horizontal="right" vertical="center"/>
    </xf>
    <xf numFmtId="2" fontId="75" fillId="0" borderId="6" xfId="0" applyNumberFormat="1" applyFont="1" applyFill="1" applyBorder="1">
      <alignment vertical="center"/>
    </xf>
    <xf numFmtId="11" fontId="69" fillId="0" borderId="8" xfId="0" applyNumberFormat="1" applyFont="1" applyFill="1" applyBorder="1" applyAlignment="1">
      <alignment horizontal="right" vertical="center"/>
    </xf>
    <xf numFmtId="2" fontId="75" fillId="0" borderId="9" xfId="0" applyNumberFormat="1" applyFont="1" applyFill="1" applyBorder="1">
      <alignment vertical="center"/>
    </xf>
    <xf numFmtId="11" fontId="24" fillId="0" borderId="0" xfId="0" applyNumberFormat="1" applyFont="1" applyFill="1" applyBorder="1" applyAlignment="1">
      <alignment horizontal="right" vertical="center"/>
    </xf>
    <xf numFmtId="178" fontId="93" fillId="5" borderId="7" xfId="0" applyNumberFormat="1" applyFont="1" applyFill="1" applyBorder="1">
      <alignment vertical="center"/>
    </xf>
    <xf numFmtId="178" fontId="93" fillId="6" borderId="7" xfId="0" applyNumberFormat="1" applyFont="1" applyFill="1" applyBorder="1">
      <alignment vertical="center"/>
    </xf>
    <xf numFmtId="0" fontId="94" fillId="0" borderId="0" xfId="0" applyFont="1" applyAlignment="1">
      <alignment horizontal="center" vertical="center"/>
    </xf>
    <xf numFmtId="178" fontId="95" fillId="0" borderId="6" xfId="0" applyNumberFormat="1" applyFont="1" applyBorder="1">
      <alignment vertical="center"/>
    </xf>
    <xf numFmtId="178" fontId="95" fillId="0" borderId="9" xfId="0" applyNumberFormat="1" applyFont="1" applyBorder="1">
      <alignment vertical="center"/>
    </xf>
    <xf numFmtId="183" fontId="40" fillId="0" borderId="0" xfId="96" applyNumberFormat="1" applyFont="1" applyFill="1" applyBorder="1">
      <alignment vertical="center"/>
    </xf>
    <xf numFmtId="0" fontId="61" fillId="0" borderId="0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75" fillId="0" borderId="6" xfId="0" applyFont="1" applyBorder="1" applyAlignment="1">
      <alignment horizontal="center" vertical="center"/>
    </xf>
    <xf numFmtId="11" fontId="76" fillId="0" borderId="0" xfId="0" applyNumberFormat="1" applyFont="1" applyBorder="1" applyAlignment="1">
      <alignment horizontal="right" vertical="center"/>
    </xf>
    <xf numFmtId="0" fontId="61" fillId="0" borderId="0" xfId="0" applyFont="1" applyBorder="1">
      <alignment vertical="center"/>
    </xf>
    <xf numFmtId="0" fontId="61" fillId="0" borderId="7" xfId="0" applyFont="1" applyBorder="1">
      <alignment vertical="center"/>
    </xf>
    <xf numFmtId="11" fontId="96" fillId="0" borderId="3" xfId="0" applyNumberFormat="1" applyFont="1" applyBorder="1" applyAlignment="1">
      <alignment horizontal="right" vertical="center"/>
    </xf>
    <xf numFmtId="11" fontId="96" fillId="0" borderId="0" xfId="0" applyNumberFormat="1" applyFont="1" applyBorder="1" applyAlignment="1">
      <alignment horizontal="right" vertical="center"/>
    </xf>
    <xf numFmtId="178" fontId="98" fillId="0" borderId="0" xfId="0" applyNumberFormat="1" applyFont="1" applyFill="1" applyBorder="1">
      <alignment vertical="center"/>
    </xf>
    <xf numFmtId="0" fontId="96" fillId="0" borderId="3" xfId="0" applyFont="1" applyBorder="1">
      <alignment vertical="center"/>
    </xf>
    <xf numFmtId="178" fontId="97" fillId="0" borderId="3" xfId="0" applyNumberFormat="1" applyFont="1" applyFill="1" applyBorder="1">
      <alignment vertical="center"/>
    </xf>
    <xf numFmtId="2" fontId="97" fillId="0" borderId="4" xfId="0" applyNumberFormat="1" applyFont="1" applyFill="1" applyBorder="1">
      <alignment vertical="center"/>
    </xf>
    <xf numFmtId="2" fontId="98" fillId="0" borderId="6" xfId="0" applyNumberFormat="1" applyFont="1" applyFill="1" applyBorder="1">
      <alignment vertical="center"/>
    </xf>
    <xf numFmtId="183" fontId="29" fillId="0" borderId="7" xfId="96" applyNumberFormat="1" applyFont="1" applyBorder="1">
      <alignment vertical="center"/>
    </xf>
    <xf numFmtId="183" fontId="29" fillId="0" borderId="9" xfId="96" applyNumberFormat="1" applyFont="1" applyBorder="1">
      <alignment vertical="center"/>
    </xf>
    <xf numFmtId="0" fontId="29" fillId="0" borderId="10" xfId="0" applyFont="1" applyBorder="1" applyAlignment="1">
      <alignment horizontal="right" vertical="center"/>
    </xf>
    <xf numFmtId="0" fontId="29" fillId="0" borderId="11" xfId="0" applyFont="1" applyBorder="1">
      <alignment vertical="center"/>
    </xf>
    <xf numFmtId="0" fontId="29" fillId="0" borderId="10" xfId="0" applyFont="1" applyBorder="1">
      <alignment vertical="center"/>
    </xf>
    <xf numFmtId="0" fontId="76" fillId="0" borderId="1" xfId="0" applyFont="1" applyBorder="1" applyAlignment="1">
      <alignment horizontal="right" vertical="center"/>
    </xf>
    <xf numFmtId="0" fontId="61" fillId="0" borderId="2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76" fillId="0" borderId="5" xfId="0" applyFont="1" applyBorder="1" applyAlignment="1">
      <alignment horizontal="left" vertical="center"/>
    </xf>
    <xf numFmtId="0" fontId="43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23" fillId="0" borderId="1" xfId="0" applyFont="1" applyFill="1" applyBorder="1">
      <alignment vertical="center"/>
    </xf>
    <xf numFmtId="0" fontId="23" fillId="0" borderId="11" xfId="0" applyFont="1" applyFill="1" applyBorder="1">
      <alignment vertical="center"/>
    </xf>
    <xf numFmtId="2" fontId="91" fillId="0" borderId="0" xfId="0" applyNumberFormat="1" applyFont="1" applyFill="1" applyBorder="1">
      <alignment vertical="center"/>
    </xf>
    <xf numFmtId="11" fontId="99" fillId="0" borderId="0" xfId="0" applyNumberFormat="1" applyFont="1" applyFill="1" applyBorder="1" applyAlignment="1">
      <alignment horizontal="right" vertical="center"/>
    </xf>
    <xf numFmtId="0" fontId="59" fillId="0" borderId="0" xfId="0" applyFont="1" applyBorder="1">
      <alignment vertical="center"/>
    </xf>
    <xf numFmtId="2" fontId="42" fillId="0" borderId="7" xfId="0" applyNumberFormat="1" applyFont="1" applyBorder="1">
      <alignment vertical="center"/>
    </xf>
    <xf numFmtId="0" fontId="76" fillId="0" borderId="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9" xfId="0" applyNumberFormat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right" vertical="center"/>
    </xf>
    <xf numFmtId="178" fontId="53" fillId="0" borderId="3" xfId="0" applyNumberFormat="1" applyFont="1" applyFill="1" applyBorder="1">
      <alignment vertical="center"/>
    </xf>
    <xf numFmtId="178" fontId="53" fillId="0" borderId="7" xfId="0" applyNumberFormat="1" applyFont="1" applyBorder="1">
      <alignment vertical="center"/>
    </xf>
    <xf numFmtId="0" fontId="34" fillId="0" borderId="13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right" vertical="center"/>
    </xf>
    <xf numFmtId="0" fontId="42" fillId="0" borderId="0" xfId="0" applyFont="1">
      <alignment vertical="center"/>
    </xf>
    <xf numFmtId="178" fontId="93" fillId="0" borderId="3" xfId="0" applyNumberFormat="1" applyFont="1" applyFill="1" applyBorder="1">
      <alignment vertical="center"/>
    </xf>
    <xf numFmtId="178" fontId="93" fillId="0" borderId="7" xfId="0" applyNumberFormat="1" applyFont="1" applyBorder="1">
      <alignment vertical="center"/>
    </xf>
    <xf numFmtId="178" fontId="64" fillId="0" borderId="0" xfId="0" applyNumberFormat="1" applyFont="1" applyBorder="1" applyAlignment="1">
      <alignment horizontal="left" vertical="center"/>
    </xf>
    <xf numFmtId="178" fontId="58" fillId="0" borderId="0" xfId="0" applyNumberFormat="1" applyFont="1" applyBorder="1" applyAlignment="1">
      <alignment horizontal="right" vertical="center"/>
    </xf>
    <xf numFmtId="178" fontId="58" fillId="0" borderId="0" xfId="0" applyNumberFormat="1" applyFont="1" applyBorder="1" applyAlignment="1">
      <alignment horizontal="left" vertical="center"/>
    </xf>
    <xf numFmtId="11" fontId="76" fillId="2" borderId="0" xfId="0" applyNumberFormat="1" applyFont="1" applyFill="1" applyBorder="1" applyAlignment="1">
      <alignment horizontal="right" vertical="center"/>
    </xf>
    <xf numFmtId="186" fontId="29" fillId="0" borderId="7" xfId="96" applyNumberFormat="1" applyFont="1" applyBorder="1">
      <alignment vertical="center"/>
    </xf>
    <xf numFmtId="185" fontId="29" fillId="0" borderId="9" xfId="96" applyNumberFormat="1" applyFont="1" applyBorder="1">
      <alignment vertical="center"/>
    </xf>
    <xf numFmtId="178" fontId="31" fillId="2" borderId="7" xfId="0" applyNumberFormat="1" applyFont="1" applyFill="1" applyBorder="1">
      <alignment vertical="center"/>
    </xf>
    <xf numFmtId="0" fontId="100" fillId="0" borderId="0" xfId="0" applyFont="1" applyFill="1" applyBorder="1" applyAlignment="1">
      <alignment horizontal="left" vertical="center"/>
    </xf>
    <xf numFmtId="0" fontId="31" fillId="0" borderId="7" xfId="0" applyFont="1" applyBorder="1">
      <alignment vertical="center"/>
    </xf>
    <xf numFmtId="0" fontId="34" fillId="0" borderId="0" xfId="0" applyFont="1" applyBorder="1">
      <alignment vertical="center"/>
    </xf>
    <xf numFmtId="0" fontId="34" fillId="0" borderId="7" xfId="0" applyFont="1" applyBorder="1">
      <alignment vertical="center"/>
    </xf>
    <xf numFmtId="2" fontId="29" fillId="0" borderId="0" xfId="0" applyNumberFormat="1" applyFont="1" applyBorder="1" applyAlignment="1">
      <alignment horizontal="right" vertical="center"/>
    </xf>
    <xf numFmtId="178" fontId="101" fillId="0" borderId="0" xfId="0" applyNumberFormat="1" applyFont="1" applyFill="1" applyBorder="1">
      <alignment vertical="center"/>
    </xf>
    <xf numFmtId="0" fontId="102" fillId="0" borderId="0" xfId="0" applyFont="1" applyFill="1" applyBorder="1" applyAlignment="1">
      <alignment horizontal="right" vertical="center"/>
    </xf>
    <xf numFmtId="11" fontId="102" fillId="0" borderId="5" xfId="0" applyNumberFormat="1" applyFont="1" applyFill="1" applyBorder="1" applyAlignment="1">
      <alignment horizontal="right" vertical="center"/>
    </xf>
    <xf numFmtId="11" fontId="102" fillId="0" borderId="0" xfId="0" applyNumberFormat="1" applyFont="1" applyFill="1" applyBorder="1" applyAlignment="1">
      <alignment horizontal="right" vertical="center"/>
    </xf>
    <xf numFmtId="178" fontId="103" fillId="0" borderId="0" xfId="0" applyNumberFormat="1" applyFont="1" applyFill="1" applyBorder="1">
      <alignment vertical="center"/>
    </xf>
    <xf numFmtId="2" fontId="103" fillId="0" borderId="6" xfId="0" applyNumberFormat="1" applyFont="1" applyFill="1" applyBorder="1">
      <alignment vertical="center"/>
    </xf>
    <xf numFmtId="1" fontId="60" fillId="6" borderId="29" xfId="3" applyNumberFormat="1" applyFont="1" applyFill="1" applyBorder="1" applyAlignment="1">
      <alignment horizontal="right" vertical="center"/>
    </xf>
    <xf numFmtId="0" fontId="51" fillId="0" borderId="17" xfId="0" applyFont="1" applyFill="1" applyBorder="1" applyAlignment="1">
      <alignment horizontal="center" vertical="center"/>
    </xf>
    <xf numFmtId="0" fontId="105" fillId="0" borderId="0" xfId="0" applyFont="1" applyAlignment="1"/>
    <xf numFmtId="0" fontId="107" fillId="0" borderId="0" xfId="0" applyFont="1" applyAlignment="1">
      <alignment horizontal="center"/>
    </xf>
    <xf numFmtId="0" fontId="107" fillId="0" borderId="0" xfId="0" applyFont="1" applyBorder="1" applyAlignment="1">
      <alignment horizontal="center"/>
    </xf>
    <xf numFmtId="179" fontId="110" fillId="0" borderId="0" xfId="0" applyNumberFormat="1" applyFont="1" applyFill="1" applyBorder="1" applyAlignment="1">
      <alignment horizontal="left"/>
    </xf>
    <xf numFmtId="0" fontId="112" fillId="0" borderId="0" xfId="0" quotePrefix="1" applyFont="1">
      <alignment vertical="center"/>
    </xf>
    <xf numFmtId="0" fontId="113" fillId="0" borderId="0" xfId="0" applyFont="1" applyAlignment="1">
      <alignment horizontal="right" vertical="center"/>
    </xf>
    <xf numFmtId="0" fontId="76" fillId="0" borderId="5" xfId="0" applyFont="1" applyBorder="1" applyAlignment="1">
      <alignment horizontal="center" vertical="center"/>
    </xf>
    <xf numFmtId="0" fontId="29" fillId="0" borderId="8" xfId="0" applyNumberFormat="1" applyFont="1" applyFill="1" applyBorder="1" applyAlignment="1">
      <alignment horizontal="center" vertical="center"/>
    </xf>
    <xf numFmtId="0" fontId="68" fillId="0" borderId="0" xfId="3" applyFont="1" applyBorder="1" applyAlignment="1">
      <alignment horizontal="right" vertical="center"/>
    </xf>
    <xf numFmtId="2" fontId="66" fillId="0" borderId="0" xfId="0" applyNumberFormat="1" applyFont="1" applyFill="1">
      <alignment vertical="center"/>
    </xf>
    <xf numFmtId="0" fontId="21" fillId="2" borderId="0" xfId="0" applyFont="1" applyFill="1">
      <alignment vertical="center"/>
    </xf>
    <xf numFmtId="11" fontId="30" fillId="0" borderId="0" xfId="0" applyNumberFormat="1" applyFont="1" applyBorder="1">
      <alignment vertical="center"/>
    </xf>
    <xf numFmtId="11" fontId="30" fillId="0" borderId="0" xfId="0" applyNumberFormat="1" applyFont="1" applyFill="1" applyBorder="1" applyAlignment="1">
      <alignment horizontal="right" vertical="center"/>
    </xf>
    <xf numFmtId="11" fontId="50" fillId="0" borderId="25" xfId="0" applyNumberFormat="1" applyFont="1" applyBorder="1">
      <alignment vertical="center"/>
    </xf>
    <xf numFmtId="11" fontId="50" fillId="0" borderId="27" xfId="0" applyNumberFormat="1" applyFont="1" applyFill="1" applyBorder="1" applyAlignment="1">
      <alignment horizontal="right" vertical="center"/>
    </xf>
    <xf numFmtId="180" fontId="50" fillId="0" borderId="29" xfId="3" applyNumberFormat="1" applyFont="1" applyBorder="1" applyAlignment="1">
      <alignment horizontal="right" vertical="center"/>
    </xf>
    <xf numFmtId="11" fontId="50" fillId="0" borderId="18" xfId="0" applyNumberFormat="1" applyFont="1" applyBorder="1">
      <alignment vertical="center"/>
    </xf>
    <xf numFmtId="11" fontId="50" fillId="0" borderId="19" xfId="0" applyNumberFormat="1" applyFont="1" applyFill="1" applyBorder="1" applyAlignment="1">
      <alignment horizontal="right" vertical="center"/>
    </xf>
    <xf numFmtId="180" fontId="50" fillId="0" borderId="20" xfId="3" applyNumberFormat="1" applyFont="1" applyBorder="1" applyAlignment="1">
      <alignment horizontal="right" vertical="center"/>
    </xf>
    <xf numFmtId="11" fontId="82" fillId="0" borderId="6" xfId="0" applyNumberFormat="1" applyFont="1" applyFill="1" applyBorder="1" applyAlignment="1">
      <alignment horizontal="right" vertical="center"/>
    </xf>
    <xf numFmtId="11" fontId="82" fillId="0" borderId="9" xfId="0" applyNumberFormat="1" applyFont="1" applyFill="1" applyBorder="1" applyAlignment="1">
      <alignment horizontal="right" vertical="center"/>
    </xf>
    <xf numFmtId="179" fontId="108" fillId="0" borderId="0" xfId="0" applyNumberFormat="1" applyFont="1" applyFill="1" applyBorder="1" applyAlignment="1">
      <alignment horizontal="right"/>
    </xf>
    <xf numFmtId="179" fontId="109" fillId="0" borderId="0" xfId="0" applyNumberFormat="1" applyFont="1" applyFill="1" applyBorder="1" applyAlignment="1">
      <alignment horizontal="left"/>
    </xf>
    <xf numFmtId="0" fontId="111" fillId="0" borderId="0" xfId="0" applyFont="1" applyBorder="1">
      <alignment vertical="center"/>
    </xf>
    <xf numFmtId="179" fontId="110" fillId="0" borderId="7" xfId="0" applyNumberFormat="1" applyFont="1" applyFill="1" applyBorder="1" applyAlignment="1">
      <alignment horizontal="left"/>
    </xf>
    <xf numFmtId="0" fontId="0" fillId="0" borderId="7" xfId="0" applyBorder="1">
      <alignment vertical="center"/>
    </xf>
    <xf numFmtId="0" fontId="107" fillId="0" borderId="13" xfId="0" applyFont="1" applyBorder="1" applyAlignment="1">
      <alignment horizontal="center"/>
    </xf>
    <xf numFmtId="0" fontId="106" fillId="0" borderId="12" xfId="0" applyFont="1" applyBorder="1" applyAlignment="1">
      <alignment horizontal="right"/>
    </xf>
    <xf numFmtId="179" fontId="108" fillId="0" borderId="1" xfId="0" applyNumberFormat="1" applyFont="1" applyFill="1" applyBorder="1" applyAlignment="1">
      <alignment horizontal="right"/>
    </xf>
    <xf numFmtId="179" fontId="108" fillId="0" borderId="11" xfId="0" applyNumberFormat="1" applyFont="1" applyFill="1" applyBorder="1" applyAlignment="1">
      <alignment horizontal="right"/>
    </xf>
    <xf numFmtId="0" fontId="107" fillId="0" borderId="40" xfId="0" applyFont="1" applyBorder="1" applyAlignment="1">
      <alignment horizontal="center"/>
    </xf>
    <xf numFmtId="0" fontId="107" fillId="0" borderId="14" xfId="0" applyFont="1" applyBorder="1" applyAlignment="1">
      <alignment horizontal="center"/>
    </xf>
    <xf numFmtId="0" fontId="75" fillId="3" borderId="5" xfId="0" applyFont="1" applyFill="1" applyBorder="1" applyAlignment="1">
      <alignment horizontal="right"/>
    </xf>
    <xf numFmtId="0" fontId="75" fillId="3" borderId="6" xfId="0" applyFont="1" applyFill="1" applyBorder="1" applyAlignment="1">
      <alignment horizontal="right"/>
    </xf>
    <xf numFmtId="0" fontId="107" fillId="3" borderId="5" xfId="0" applyFont="1" applyFill="1" applyBorder="1" applyAlignment="1">
      <alignment horizontal="right"/>
    </xf>
    <xf numFmtId="0" fontId="107" fillId="3" borderId="6" xfId="0" applyFont="1" applyFill="1" applyBorder="1" applyAlignment="1">
      <alignment horizontal="right"/>
    </xf>
    <xf numFmtId="0" fontId="107" fillId="3" borderId="8" xfId="0" applyFont="1" applyFill="1" applyBorder="1" applyAlignment="1">
      <alignment horizontal="right"/>
    </xf>
    <xf numFmtId="0" fontId="107" fillId="3" borderId="9" xfId="0" applyFont="1" applyFill="1" applyBorder="1" applyAlignment="1">
      <alignment horizontal="right"/>
    </xf>
    <xf numFmtId="187" fontId="75" fillId="3" borderId="5" xfId="0" applyNumberFormat="1" applyFont="1" applyFill="1" applyBorder="1" applyAlignment="1">
      <alignment horizontal="right"/>
    </xf>
    <xf numFmtId="187" fontId="75" fillId="3" borderId="6" xfId="0" applyNumberFormat="1" applyFont="1" applyFill="1" applyBorder="1" applyAlignment="1">
      <alignment horizontal="right"/>
    </xf>
    <xf numFmtId="187" fontId="107" fillId="3" borderId="5" xfId="0" applyNumberFormat="1" applyFont="1" applyFill="1" applyBorder="1" applyAlignment="1">
      <alignment horizontal="right"/>
    </xf>
    <xf numFmtId="187" fontId="107" fillId="3" borderId="6" xfId="0" applyNumberFormat="1" applyFont="1" applyFill="1" applyBorder="1" applyAlignment="1">
      <alignment horizontal="right"/>
    </xf>
    <xf numFmtId="9" fontId="75" fillId="3" borderId="5" xfId="96" applyFont="1" applyFill="1" applyBorder="1" applyAlignment="1">
      <alignment horizontal="right"/>
    </xf>
    <xf numFmtId="9" fontId="75" fillId="3" borderId="6" xfId="96" applyFont="1" applyFill="1" applyBorder="1" applyAlignment="1">
      <alignment horizontal="right"/>
    </xf>
    <xf numFmtId="0" fontId="94" fillId="0" borderId="0" xfId="0" applyFont="1">
      <alignment vertical="center"/>
    </xf>
    <xf numFmtId="0" fontId="79" fillId="0" borderId="0" xfId="0" applyFont="1" applyFill="1" applyBorder="1" applyAlignment="1">
      <alignment horizontal="left" vertical="center"/>
    </xf>
    <xf numFmtId="49" fontId="79" fillId="0" borderId="0" xfId="0" applyNumberFormat="1" applyFont="1" applyFill="1" applyBorder="1">
      <alignment vertical="center"/>
    </xf>
    <xf numFmtId="0" fontId="104" fillId="0" borderId="0" xfId="0" applyFont="1" applyFill="1" applyBorder="1" applyAlignment="1">
      <alignment horizontal="left" vertical="center"/>
    </xf>
    <xf numFmtId="0" fontId="99" fillId="0" borderId="0" xfId="0" quotePrefix="1" applyFont="1" applyBorder="1">
      <alignment vertical="center"/>
    </xf>
    <xf numFmtId="178" fontId="34" fillId="0" borderId="0" xfId="0" applyNumberFormat="1" applyFont="1" applyBorder="1">
      <alignment vertical="center"/>
    </xf>
    <xf numFmtId="178" fontId="86" fillId="0" borderId="0" xfId="0" applyNumberFormat="1" applyFont="1" applyBorder="1">
      <alignment vertical="center"/>
    </xf>
    <xf numFmtId="0" fontId="100" fillId="0" borderId="0" xfId="0" applyFont="1" applyBorder="1">
      <alignment vertical="center"/>
    </xf>
    <xf numFmtId="0" fontId="100" fillId="0" borderId="0" xfId="0" quotePrefix="1" applyFont="1" applyBorder="1">
      <alignment vertical="center"/>
    </xf>
    <xf numFmtId="0" fontId="100" fillId="0" borderId="0" xfId="0" quotePrefix="1" applyFont="1" applyBorder="1" applyAlignment="1">
      <alignment horizontal="right" vertical="center"/>
    </xf>
    <xf numFmtId="2" fontId="34" fillId="0" borderId="0" xfId="0" applyNumberFormat="1" applyFont="1" applyBorder="1">
      <alignment vertical="center"/>
    </xf>
    <xf numFmtId="0" fontId="100" fillId="0" borderId="0" xfId="0" applyFont="1" applyBorder="1" applyAlignment="1">
      <alignment horizontal="right" vertical="center"/>
    </xf>
    <xf numFmtId="0" fontId="51" fillId="0" borderId="9" xfId="0" quotePrefix="1" applyFont="1" applyBorder="1">
      <alignment vertical="center"/>
    </xf>
    <xf numFmtId="0" fontId="31" fillId="3" borderId="0" xfId="0" applyFont="1" applyFill="1" applyBorder="1">
      <alignment vertical="center"/>
    </xf>
    <xf numFmtId="2" fontId="31" fillId="0" borderId="7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44" fillId="0" borderId="4" xfId="0" applyFont="1" applyFill="1" applyBorder="1" applyAlignment="1">
      <alignment horizontal="left" vertical="center"/>
    </xf>
    <xf numFmtId="0" fontId="61" fillId="3" borderId="2" xfId="0" applyFont="1" applyFill="1" applyBorder="1">
      <alignment vertical="center"/>
    </xf>
    <xf numFmtId="0" fontId="65" fillId="3" borderId="5" xfId="0" applyFont="1" applyFill="1" applyBorder="1" applyAlignment="1">
      <alignment horizontal="right" vertical="center"/>
    </xf>
    <xf numFmtId="0" fontId="48" fillId="3" borderId="5" xfId="0" applyFont="1" applyFill="1" applyBorder="1" applyAlignment="1">
      <alignment horizontal="center" vertical="center"/>
    </xf>
    <xf numFmtId="0" fontId="115" fillId="3" borderId="8" xfId="0" applyFont="1" applyFill="1" applyBorder="1" applyAlignment="1">
      <alignment horizontal="center" vertical="center"/>
    </xf>
    <xf numFmtId="0" fontId="116" fillId="0" borderId="0" xfId="0" applyFont="1">
      <alignment vertical="center"/>
    </xf>
  </cellXfs>
  <cellStyles count="98">
    <cellStyle name="Normal_calc" xfId="1" xr:uid="{00000000-0005-0000-0000-000000000000}"/>
    <cellStyle name="パーセント" xfId="96" builtinId="5"/>
    <cellStyle name="パーセント 2" xfId="13" xr:uid="{00000000-0005-0000-0000-000002000000}"/>
    <cellStyle name="桁区切り 2" xfId="9" xr:uid="{00000000-0005-0000-0000-000003000000}"/>
    <cellStyle name="桁区切り 2 2" xfId="22" xr:uid="{00000000-0005-0000-0000-000004000000}"/>
    <cellStyle name="桁区切り 2 2 2" xfId="45" xr:uid="{00000000-0005-0000-0000-000005000000}"/>
    <cellStyle name="桁区切り 2 2 3" xfId="53" xr:uid="{00000000-0005-0000-0000-000006000000}"/>
    <cellStyle name="桁区切り 2 2 4" xfId="54" xr:uid="{00000000-0005-0000-0000-000007000000}"/>
    <cellStyle name="桁区切り 2 3" xfId="24" xr:uid="{00000000-0005-0000-0000-000008000000}"/>
    <cellStyle name="桁区切り 2 4" xfId="28" xr:uid="{00000000-0005-0000-0000-000009000000}"/>
    <cellStyle name="桁区切り 2 5" xfId="39" xr:uid="{00000000-0005-0000-0000-00000A000000}"/>
    <cellStyle name="桁区切り 2 6" xfId="55" xr:uid="{00000000-0005-0000-0000-00000B000000}"/>
    <cellStyle name="桁区切り 2 7" xfId="56" xr:uid="{00000000-0005-0000-0000-00000C000000}"/>
    <cellStyle name="標準" xfId="0" builtinId="0"/>
    <cellStyle name="標準 10" xfId="16" xr:uid="{00000000-0005-0000-0000-00000E000000}"/>
    <cellStyle name="標準 11" xfId="92" xr:uid="{00000000-0005-0000-0000-00000F000000}"/>
    <cellStyle name="標準 12" xfId="93" xr:uid="{00000000-0005-0000-0000-000010000000}"/>
    <cellStyle name="標準 12 2" xfId="94" xr:uid="{00000000-0005-0000-0000-000011000000}"/>
    <cellStyle name="標準 12 2 2" xfId="97" xr:uid="{00000000-0005-0000-0000-000012000000}"/>
    <cellStyle name="標準 12 3" xfId="95" xr:uid="{00000000-0005-0000-0000-000013000000}"/>
    <cellStyle name="標準 2" xfId="2" xr:uid="{00000000-0005-0000-0000-000014000000}"/>
    <cellStyle name="標準 2 2" xfId="14" xr:uid="{00000000-0005-0000-0000-000015000000}"/>
    <cellStyle name="標準 2 3" xfId="29" xr:uid="{00000000-0005-0000-0000-000016000000}"/>
    <cellStyle name="標準 2 3 2" xfId="49" xr:uid="{00000000-0005-0000-0000-000017000000}"/>
    <cellStyle name="標準 2 3 3" xfId="57" xr:uid="{00000000-0005-0000-0000-000018000000}"/>
    <cellStyle name="標準 2 3 4" xfId="58" xr:uid="{00000000-0005-0000-0000-000019000000}"/>
    <cellStyle name="標準 2 4" xfId="89" xr:uid="{00000000-0005-0000-0000-00001A000000}"/>
    <cellStyle name="標準 3" xfId="3" xr:uid="{00000000-0005-0000-0000-00001B000000}"/>
    <cellStyle name="標準 3 2" xfId="12" xr:uid="{00000000-0005-0000-0000-00001C000000}"/>
    <cellStyle name="標準 3 2 2" xfId="17" xr:uid="{00000000-0005-0000-0000-00001D000000}"/>
    <cellStyle name="標準 3 2 3" xfId="40" xr:uid="{00000000-0005-0000-0000-00001E000000}"/>
    <cellStyle name="標準 3 2 4" xfId="59" xr:uid="{00000000-0005-0000-0000-00001F000000}"/>
    <cellStyle name="標準 3 2 5" xfId="60" xr:uid="{00000000-0005-0000-0000-000020000000}"/>
    <cellStyle name="標準 3 2 6" xfId="87" xr:uid="{00000000-0005-0000-0000-000021000000}"/>
    <cellStyle name="標準 3 2 7" xfId="90" xr:uid="{00000000-0005-0000-0000-000022000000}"/>
    <cellStyle name="標準 3 3" xfId="15" xr:uid="{00000000-0005-0000-0000-000023000000}"/>
    <cellStyle name="標準 3 3 2" xfId="41" xr:uid="{00000000-0005-0000-0000-000024000000}"/>
    <cellStyle name="標準 3 3 3" xfId="61" xr:uid="{00000000-0005-0000-0000-000025000000}"/>
    <cellStyle name="標準 3 3 4" xfId="62" xr:uid="{00000000-0005-0000-0000-000026000000}"/>
    <cellStyle name="標準 3 3 5" xfId="88" xr:uid="{00000000-0005-0000-0000-000027000000}"/>
    <cellStyle name="標準 3 3 6" xfId="91" xr:uid="{00000000-0005-0000-0000-000028000000}"/>
    <cellStyle name="標準 3 4" xfId="18" xr:uid="{00000000-0005-0000-0000-000029000000}"/>
    <cellStyle name="標準 3 5" xfId="30" xr:uid="{00000000-0005-0000-0000-00002A000000}"/>
    <cellStyle name="標準 3 5 2" xfId="50" xr:uid="{00000000-0005-0000-0000-00002B000000}"/>
    <cellStyle name="標準 3 5 3" xfId="63" xr:uid="{00000000-0005-0000-0000-00002C000000}"/>
    <cellStyle name="標準 3 5 4" xfId="64" xr:uid="{00000000-0005-0000-0000-00002D000000}"/>
    <cellStyle name="標準 4" xfId="4" xr:uid="{00000000-0005-0000-0000-00002E000000}"/>
    <cellStyle name="標準 4 2" xfId="31" xr:uid="{00000000-0005-0000-0000-00002F000000}"/>
    <cellStyle name="標準 4 2 2" xfId="51" xr:uid="{00000000-0005-0000-0000-000030000000}"/>
    <cellStyle name="標準 4 2 3" xfId="65" xr:uid="{00000000-0005-0000-0000-000031000000}"/>
    <cellStyle name="標準 4 2 4" xfId="66" xr:uid="{00000000-0005-0000-0000-000032000000}"/>
    <cellStyle name="標準 5" xfId="5" xr:uid="{00000000-0005-0000-0000-000033000000}"/>
    <cellStyle name="標準 5 2" xfId="10" xr:uid="{00000000-0005-0000-0000-000034000000}"/>
    <cellStyle name="標準 5 3" xfId="23" xr:uid="{00000000-0005-0000-0000-000035000000}"/>
    <cellStyle name="標準 5 4" xfId="32" xr:uid="{00000000-0005-0000-0000-000036000000}"/>
    <cellStyle name="標準 5 4 2" xfId="52" xr:uid="{00000000-0005-0000-0000-000037000000}"/>
    <cellStyle name="標準 5 4 3" xfId="67" xr:uid="{00000000-0005-0000-0000-000038000000}"/>
    <cellStyle name="標準 5 4 4" xfId="68" xr:uid="{00000000-0005-0000-0000-000039000000}"/>
    <cellStyle name="標準 6" xfId="7" xr:uid="{00000000-0005-0000-0000-00003A000000}"/>
    <cellStyle name="標準 6 2" xfId="20" xr:uid="{00000000-0005-0000-0000-00003B000000}"/>
    <cellStyle name="標準 6 2 2" xfId="43" xr:uid="{00000000-0005-0000-0000-00003C000000}"/>
    <cellStyle name="標準 6 2 3" xfId="69" xr:uid="{00000000-0005-0000-0000-00003D000000}"/>
    <cellStyle name="標準 6 2 4" xfId="70" xr:uid="{00000000-0005-0000-0000-00003E000000}"/>
    <cellStyle name="標準 6 3" xfId="25" xr:uid="{00000000-0005-0000-0000-00003F000000}"/>
    <cellStyle name="標準 6 3 2" xfId="46" xr:uid="{00000000-0005-0000-0000-000040000000}"/>
    <cellStyle name="標準 6 3 3" xfId="71" xr:uid="{00000000-0005-0000-0000-000041000000}"/>
    <cellStyle name="標準 6 3 4" xfId="72" xr:uid="{00000000-0005-0000-0000-000042000000}"/>
    <cellStyle name="標準 6 4" xfId="33" xr:uid="{00000000-0005-0000-0000-000043000000}"/>
    <cellStyle name="標準 6 5" xfId="37" xr:uid="{00000000-0005-0000-0000-000044000000}"/>
    <cellStyle name="標準 6 6" xfId="73" xr:uid="{00000000-0005-0000-0000-000045000000}"/>
    <cellStyle name="標準 6 7" xfId="74" xr:uid="{00000000-0005-0000-0000-000046000000}"/>
    <cellStyle name="標準 7" xfId="6" xr:uid="{00000000-0005-0000-0000-000047000000}"/>
    <cellStyle name="標準 7 2" xfId="19" xr:uid="{00000000-0005-0000-0000-000048000000}"/>
    <cellStyle name="標準 7 2 2" xfId="42" xr:uid="{00000000-0005-0000-0000-000049000000}"/>
    <cellStyle name="標準 7 2 3" xfId="75" xr:uid="{00000000-0005-0000-0000-00004A000000}"/>
    <cellStyle name="標準 7 2 4" xfId="76" xr:uid="{00000000-0005-0000-0000-00004B000000}"/>
    <cellStyle name="標準 7 3" xfId="26" xr:uid="{00000000-0005-0000-0000-00004C000000}"/>
    <cellStyle name="標準 7 3 2" xfId="47" xr:uid="{00000000-0005-0000-0000-00004D000000}"/>
    <cellStyle name="標準 7 3 3" xfId="77" xr:uid="{00000000-0005-0000-0000-00004E000000}"/>
    <cellStyle name="標準 7 3 4" xfId="78" xr:uid="{00000000-0005-0000-0000-00004F000000}"/>
    <cellStyle name="標準 7 4" xfId="34" xr:uid="{00000000-0005-0000-0000-000050000000}"/>
    <cellStyle name="標準 7 5" xfId="36" xr:uid="{00000000-0005-0000-0000-000051000000}"/>
    <cellStyle name="標準 7 6" xfId="79" xr:uid="{00000000-0005-0000-0000-000052000000}"/>
    <cellStyle name="標準 7 7" xfId="80" xr:uid="{00000000-0005-0000-0000-000053000000}"/>
    <cellStyle name="標準 8" xfId="8" xr:uid="{00000000-0005-0000-0000-000054000000}"/>
    <cellStyle name="標準 8 2" xfId="21" xr:uid="{00000000-0005-0000-0000-000055000000}"/>
    <cellStyle name="標準 8 2 2" xfId="44" xr:uid="{00000000-0005-0000-0000-000056000000}"/>
    <cellStyle name="標準 8 2 3" xfId="81" xr:uid="{00000000-0005-0000-0000-000057000000}"/>
    <cellStyle name="標準 8 2 4" xfId="82" xr:uid="{00000000-0005-0000-0000-000058000000}"/>
    <cellStyle name="標準 8 3" xfId="27" xr:uid="{00000000-0005-0000-0000-000059000000}"/>
    <cellStyle name="標準 8 3 2" xfId="48" xr:uid="{00000000-0005-0000-0000-00005A000000}"/>
    <cellStyle name="標準 8 3 3" xfId="83" xr:uid="{00000000-0005-0000-0000-00005B000000}"/>
    <cellStyle name="標準 8 3 4" xfId="84" xr:uid="{00000000-0005-0000-0000-00005C000000}"/>
    <cellStyle name="標準 8 4" xfId="35" xr:uid="{00000000-0005-0000-0000-00005D000000}"/>
    <cellStyle name="標準 8 5" xfId="38" xr:uid="{00000000-0005-0000-0000-00005E000000}"/>
    <cellStyle name="標準 8 6" xfId="85" xr:uid="{00000000-0005-0000-0000-00005F000000}"/>
    <cellStyle name="標準 8 7" xfId="86" xr:uid="{00000000-0005-0000-0000-000060000000}"/>
    <cellStyle name="標準 9" xfId="11" xr:uid="{00000000-0005-0000-0000-000061000000}"/>
  </cellStyles>
  <dxfs count="0"/>
  <tableStyles count="0" defaultTableStyle="TableStyleMedium9" defaultPivotStyle="PivotStyleLight16"/>
  <colors>
    <mruColors>
      <color rgb="FFFFFFCC"/>
      <color rgb="FFFFFF99"/>
      <color rgb="FF00CC00"/>
      <color rgb="FF0000FF"/>
      <color rgb="FFFF00FF"/>
      <color rgb="FFFFCCFF"/>
      <color rgb="FF6600FF"/>
      <color rgb="FF00800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+mn-ea"/>
                <a:ea typeface="+mn-ea"/>
              </a:defRPr>
            </a:pPr>
            <a:r>
              <a:rPr lang="en-US" altLang="en-US"/>
              <a:t>IC2 calc : ExpR diff</a:t>
            </a:r>
          </a:p>
        </c:rich>
      </c:tx>
      <c:layout>
        <c:manualLayout>
          <c:xMode val="edge"/>
          <c:yMode val="edge"/>
          <c:x val="0.1219070987654321"/>
          <c:y val="3.4653395061728397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3080051099512655"/>
          <c:y val="7.3323318510765415E-2"/>
          <c:w val="0.8271751412908307"/>
          <c:h val="0.7758272868710720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IC計算!$I$11</c:f>
              <c:strCache>
                <c:ptCount val="1"/>
                <c:pt idx="0">
                  <c:v>978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circle"/>
            <c:size val="2"/>
            <c:spPr>
              <a:solidFill>
                <a:srgbClr val="6600FF"/>
              </a:solidFill>
              <a:ln>
                <a:noFill/>
              </a:ln>
            </c:spPr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IC計算!$J$15:$J$104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5.4184299335766042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5.8838064650489343</c:v>
                </c:pt>
                <c:pt idx="20">
                  <c:v>5.8838064650492328</c:v>
                </c:pt>
                <c:pt idx="21">
                  <c:v>6.1566028270362665</c:v>
                </c:pt>
                <c:pt idx="22">
                  <c:v>6.4537757331346342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7.508575639944489</c:v>
                </c:pt>
                <c:pt idx="27">
                  <c:v>7.9098907802272436</c:v>
                </c:pt>
                <c:pt idx="28">
                  <c:v>7.9098907802272436</c:v>
                </c:pt>
                <c:pt idx="29">
                  <c:v>8.3278102673268535</c:v>
                </c:pt>
                <c:pt idx="30">
                  <c:v>8.7605704032250742</c:v>
                </c:pt>
                <c:pt idx="31">
                  <c:v>9.3028513926760468</c:v>
                </c:pt>
                <c:pt idx="32">
                  <c:v>9.7227393692762121</c:v>
                </c:pt>
                <c:pt idx="33">
                  <c:v>10.173510331132782</c:v>
                </c:pt>
                <c:pt idx="34">
                  <c:v>10.605657714626256</c:v>
                </c:pt>
                <c:pt idx="35">
                  <c:v>11.05741398078932</c:v>
                </c:pt>
                <c:pt idx="37">
                  <c:v>11.078367029906744</c:v>
                </c:pt>
                <c:pt idx="38">
                  <c:v>11.131487072468836</c:v>
                </c:pt>
                <c:pt idx="39">
                  <c:v>11.261200237630561</c:v>
                </c:pt>
                <c:pt idx="40">
                  <c:v>11.271594361823745</c:v>
                </c:pt>
                <c:pt idx="41">
                  <c:v>11.286586950993106</c:v>
                </c:pt>
                <c:pt idx="42">
                  <c:v>11.337510118325634</c:v>
                </c:pt>
                <c:pt idx="43">
                  <c:v>11.308890505214187</c:v>
                </c:pt>
                <c:pt idx="44">
                  <c:v>11.237053930107097</c:v>
                </c:pt>
                <c:pt idx="45">
                  <c:v>11.144264962779069</c:v>
                </c:pt>
                <c:pt idx="46">
                  <c:v>10.816496086432547</c:v>
                </c:pt>
                <c:pt idx="47">
                  <c:v>10.394833698877877</c:v>
                </c:pt>
                <c:pt idx="48">
                  <c:v>9.7189741327521517</c:v>
                </c:pt>
                <c:pt idx="49">
                  <c:v>8.6389052900458765</c:v>
                </c:pt>
                <c:pt idx="50">
                  <c:v>7.2159226274913468</c:v>
                </c:pt>
                <c:pt idx="51">
                  <c:v>5.5515330676397516</c:v>
                </c:pt>
                <c:pt idx="52">
                  <c:v>4.0125911581759155</c:v>
                </c:pt>
                <c:pt idx="53">
                  <c:v>2.8843663702541082</c:v>
                </c:pt>
                <c:pt idx="54">
                  <c:v>2.1626121918560055</c:v>
                </c:pt>
                <c:pt idx="55">
                  <c:v>1.7582778939837518</c:v>
                </c:pt>
                <c:pt idx="56">
                  <c:v>1.0479469508973536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91-4853-99B0-2B9F6B9BF909}"/>
            </c:ext>
          </c:extLst>
        </c:ser>
        <c:ser>
          <c:idx val="2"/>
          <c:order val="1"/>
          <c:tx>
            <c:strRef>
              <c:f>IC計算!$L$11</c:f>
              <c:strCache>
                <c:ptCount val="1"/>
                <c:pt idx="0">
                  <c:v>983</c:v>
                </c:pt>
              </c:strCache>
            </c:strRef>
          </c:tx>
          <c:spPr>
            <a:ln w="12700">
              <a:solidFill>
                <a:srgbClr val="CC00FF"/>
              </a:solidFill>
            </a:ln>
          </c:spPr>
          <c:marker>
            <c:symbol val="circle"/>
            <c:size val="2"/>
            <c:spPr>
              <a:solidFill>
                <a:srgbClr val="6600FF"/>
              </a:solidFill>
              <a:ln>
                <a:noFill/>
              </a:ln>
            </c:spPr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IC計算!$M$15:$M$104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6.1566028270362665</c:v>
                </c:pt>
                <c:pt idx="22">
                  <c:v>6.1566028270359681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7.1302472608816529</c:v>
                </c:pt>
                <c:pt idx="27">
                  <c:v>7.508575639944489</c:v>
                </c:pt>
                <c:pt idx="28">
                  <c:v>7.9098907802270944</c:v>
                </c:pt>
                <c:pt idx="29">
                  <c:v>8.3278102673268535</c:v>
                </c:pt>
                <c:pt idx="30">
                  <c:v>8.760570403224925</c:v>
                </c:pt>
                <c:pt idx="31">
                  <c:v>9.0934063331786312</c:v>
                </c:pt>
                <c:pt idx="32">
                  <c:v>9.5221720541929393</c:v>
                </c:pt>
                <c:pt idx="33">
                  <c:v>9.9955609179126199</c:v>
                </c:pt>
                <c:pt idx="34">
                  <c:v>10.445658568069483</c:v>
                </c:pt>
                <c:pt idx="35">
                  <c:v>10.860289893285524</c:v>
                </c:pt>
                <c:pt idx="37">
                  <c:v>10.891652978840922</c:v>
                </c:pt>
                <c:pt idx="38">
                  <c:v>10.931921927801636</c:v>
                </c:pt>
                <c:pt idx="39">
                  <c:v>10.984216601890552</c:v>
                </c:pt>
                <c:pt idx="40">
                  <c:v>11.002603236898572</c:v>
                </c:pt>
                <c:pt idx="41">
                  <c:v>11.05741398078932</c:v>
                </c:pt>
                <c:pt idx="42">
                  <c:v>11.078367029906744</c:v>
                </c:pt>
                <c:pt idx="43">
                  <c:v>11.131487072468836</c:v>
                </c:pt>
                <c:pt idx="44">
                  <c:v>11.261200237630561</c:v>
                </c:pt>
                <c:pt idx="45">
                  <c:v>11.271594361823745</c:v>
                </c:pt>
                <c:pt idx="46">
                  <c:v>11.286586950993106</c:v>
                </c:pt>
                <c:pt idx="47">
                  <c:v>11.337510118325634</c:v>
                </c:pt>
                <c:pt idx="48">
                  <c:v>11.308890505214187</c:v>
                </c:pt>
                <c:pt idx="49">
                  <c:v>11.237053930107097</c:v>
                </c:pt>
                <c:pt idx="50">
                  <c:v>11.144264962779069</c:v>
                </c:pt>
                <c:pt idx="51">
                  <c:v>10.816496086432547</c:v>
                </c:pt>
                <c:pt idx="52">
                  <c:v>10.394833698877877</c:v>
                </c:pt>
                <c:pt idx="53">
                  <c:v>9.7189741327521517</c:v>
                </c:pt>
                <c:pt idx="54">
                  <c:v>8.6389052900458765</c:v>
                </c:pt>
                <c:pt idx="55">
                  <c:v>7.2159226274913468</c:v>
                </c:pt>
                <c:pt idx="56">
                  <c:v>5.5515330676397516</c:v>
                </c:pt>
                <c:pt idx="57">
                  <c:v>4.0125911581759155</c:v>
                </c:pt>
                <c:pt idx="58">
                  <c:v>2.8843663702541082</c:v>
                </c:pt>
                <c:pt idx="59">
                  <c:v>2.1626121918560055</c:v>
                </c:pt>
                <c:pt idx="60">
                  <c:v>1.7582778939837518</c:v>
                </c:pt>
                <c:pt idx="61">
                  <c:v>1.0479469508973536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91-4853-99B0-2B9F6B9BF909}"/>
            </c:ext>
          </c:extLst>
        </c:ser>
        <c:ser>
          <c:idx val="0"/>
          <c:order val="2"/>
          <c:tx>
            <c:strRef>
              <c:f>IC計算!$O$11</c:f>
              <c:strCache>
                <c:ptCount val="1"/>
                <c:pt idx="0">
                  <c:v>988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IC計算!$P$15:$P$104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5.8838064650492328</c:v>
                </c:pt>
                <c:pt idx="22">
                  <c:v>6.1566028270362665</c:v>
                </c:pt>
                <c:pt idx="23">
                  <c:v>6.4537757331349326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7.508575639944489</c:v>
                </c:pt>
                <c:pt idx="28">
                  <c:v>7.9098907802272436</c:v>
                </c:pt>
                <c:pt idx="29">
                  <c:v>8.2351011492746977</c:v>
                </c:pt>
                <c:pt idx="30">
                  <c:v>8.3278102673268535</c:v>
                </c:pt>
                <c:pt idx="31">
                  <c:v>8.7605704032250742</c:v>
                </c:pt>
                <c:pt idx="32">
                  <c:v>9.3028513926760468</c:v>
                </c:pt>
                <c:pt idx="33">
                  <c:v>9.8059189971377094</c:v>
                </c:pt>
                <c:pt idx="34">
                  <c:v>10.246903965294329</c:v>
                </c:pt>
                <c:pt idx="35">
                  <c:v>10.64461881302439</c:v>
                </c:pt>
                <c:pt idx="37">
                  <c:v>10.69930590636687</c:v>
                </c:pt>
                <c:pt idx="38">
                  <c:v>10.70441259258503</c:v>
                </c:pt>
                <c:pt idx="39">
                  <c:v>10.770634612409332</c:v>
                </c:pt>
                <c:pt idx="40">
                  <c:v>10.770634612409332</c:v>
                </c:pt>
                <c:pt idx="41">
                  <c:v>10.860289893285524</c:v>
                </c:pt>
                <c:pt idx="42">
                  <c:v>10.891652978840922</c:v>
                </c:pt>
                <c:pt idx="43">
                  <c:v>10.931921927801636</c:v>
                </c:pt>
                <c:pt idx="44">
                  <c:v>10.984216601890552</c:v>
                </c:pt>
                <c:pt idx="45">
                  <c:v>11.002603236898572</c:v>
                </c:pt>
                <c:pt idx="46">
                  <c:v>11.05741398078932</c:v>
                </c:pt>
                <c:pt idx="47">
                  <c:v>11.078367029906744</c:v>
                </c:pt>
                <c:pt idx="48">
                  <c:v>11.131487072468836</c:v>
                </c:pt>
                <c:pt idx="49">
                  <c:v>11.261200237630561</c:v>
                </c:pt>
                <c:pt idx="50">
                  <c:v>11.271594361823745</c:v>
                </c:pt>
                <c:pt idx="51">
                  <c:v>11.286586950993106</c:v>
                </c:pt>
                <c:pt idx="52">
                  <c:v>11.337510118325634</c:v>
                </c:pt>
                <c:pt idx="53">
                  <c:v>11.308890505214187</c:v>
                </c:pt>
                <c:pt idx="54">
                  <c:v>11.237053930107097</c:v>
                </c:pt>
                <c:pt idx="55">
                  <c:v>11.144264962779069</c:v>
                </c:pt>
                <c:pt idx="56">
                  <c:v>10.816496086432547</c:v>
                </c:pt>
                <c:pt idx="57">
                  <c:v>10.394833698877877</c:v>
                </c:pt>
                <c:pt idx="58">
                  <c:v>9.7189741327521517</c:v>
                </c:pt>
                <c:pt idx="59">
                  <c:v>8.6389052900458765</c:v>
                </c:pt>
                <c:pt idx="60">
                  <c:v>7.2159226274913468</c:v>
                </c:pt>
                <c:pt idx="61">
                  <c:v>5.5515330676397516</c:v>
                </c:pt>
                <c:pt idx="62">
                  <c:v>4.0125911581759155</c:v>
                </c:pt>
                <c:pt idx="63">
                  <c:v>2.8843663702541082</c:v>
                </c:pt>
                <c:pt idx="64">
                  <c:v>2.1626121918560055</c:v>
                </c:pt>
                <c:pt idx="65">
                  <c:v>1.7582778939837518</c:v>
                </c:pt>
                <c:pt idx="66">
                  <c:v>1.0479469508973536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AE-4643-99CD-F56C5A0087BB}"/>
            </c:ext>
          </c:extLst>
        </c:ser>
        <c:ser>
          <c:idx val="4"/>
          <c:order val="3"/>
          <c:tx>
            <c:strRef>
              <c:f>IC計算!$R$11</c:f>
              <c:strCache>
                <c:ptCount val="1"/>
                <c:pt idx="0">
                  <c:v>993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circle"/>
            <c:size val="2"/>
            <c:spPr>
              <a:solidFill>
                <a:schemeClr val="accent3"/>
              </a:solidFill>
              <a:ln>
                <a:noFill/>
              </a:ln>
            </c:spPr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IC計算!$S$15:$S$104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4.7931028239556923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5.2683707039146697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6.1566028270359681</c:v>
                </c:pt>
                <c:pt idx="23">
                  <c:v>6.1566028270362665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7.1302472608815037</c:v>
                </c:pt>
                <c:pt idx="28">
                  <c:v>7.508575639944489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8.760570403224925</c:v>
                </c:pt>
                <c:pt idx="32">
                  <c:v>9.1203302319539077</c:v>
                </c:pt>
                <c:pt idx="33">
                  <c:v>9.6305711591397944</c:v>
                </c:pt>
                <c:pt idx="34">
                  <c:v>10.118550262180015</c:v>
                </c:pt>
                <c:pt idx="35">
                  <c:v>10.457136755666674</c:v>
                </c:pt>
                <c:pt idx="37">
                  <c:v>10.513634654195634</c:v>
                </c:pt>
                <c:pt idx="38">
                  <c:v>10.513634654195634</c:v>
                </c:pt>
                <c:pt idx="39">
                  <c:v>10.585667060697908</c:v>
                </c:pt>
                <c:pt idx="40">
                  <c:v>10.605657714626256</c:v>
                </c:pt>
                <c:pt idx="41">
                  <c:v>10.64461881302439</c:v>
                </c:pt>
                <c:pt idx="42">
                  <c:v>10.69930590636687</c:v>
                </c:pt>
                <c:pt idx="43">
                  <c:v>10.70441259258503</c:v>
                </c:pt>
                <c:pt idx="44">
                  <c:v>10.770634612409332</c:v>
                </c:pt>
                <c:pt idx="45">
                  <c:v>10.770634612409332</c:v>
                </c:pt>
                <c:pt idx="46">
                  <c:v>10.860289893285524</c:v>
                </c:pt>
                <c:pt idx="47">
                  <c:v>10.891652978840922</c:v>
                </c:pt>
                <c:pt idx="48">
                  <c:v>10.931921927801636</c:v>
                </c:pt>
                <c:pt idx="49">
                  <c:v>10.984216601890552</c:v>
                </c:pt>
                <c:pt idx="50">
                  <c:v>11.002603236898572</c:v>
                </c:pt>
                <c:pt idx="51">
                  <c:v>11.05741398078932</c:v>
                </c:pt>
                <c:pt idx="52">
                  <c:v>11.078367029906744</c:v>
                </c:pt>
                <c:pt idx="53">
                  <c:v>11.131487072468836</c:v>
                </c:pt>
                <c:pt idx="54">
                  <c:v>11.261200237630561</c:v>
                </c:pt>
                <c:pt idx="55">
                  <c:v>11.271594361823745</c:v>
                </c:pt>
                <c:pt idx="56">
                  <c:v>11.286586950993106</c:v>
                </c:pt>
                <c:pt idx="57">
                  <c:v>11.337510118325634</c:v>
                </c:pt>
                <c:pt idx="58">
                  <c:v>11.308890505214187</c:v>
                </c:pt>
                <c:pt idx="59">
                  <c:v>11.237053930107097</c:v>
                </c:pt>
                <c:pt idx="60">
                  <c:v>11.144264962779069</c:v>
                </c:pt>
                <c:pt idx="61">
                  <c:v>10.816496086432547</c:v>
                </c:pt>
                <c:pt idx="62">
                  <c:v>10.394833698877877</c:v>
                </c:pt>
                <c:pt idx="63">
                  <c:v>9.7189741327521517</c:v>
                </c:pt>
                <c:pt idx="64">
                  <c:v>8.6389052900458765</c:v>
                </c:pt>
                <c:pt idx="65">
                  <c:v>7.2159226274913468</c:v>
                </c:pt>
                <c:pt idx="66">
                  <c:v>5.5515330676397516</c:v>
                </c:pt>
                <c:pt idx="67">
                  <c:v>4.0125911581759155</c:v>
                </c:pt>
                <c:pt idx="68">
                  <c:v>2.8843663702541082</c:v>
                </c:pt>
                <c:pt idx="69">
                  <c:v>2.1626121918560055</c:v>
                </c:pt>
                <c:pt idx="70">
                  <c:v>1.7582778939837518</c:v>
                </c:pt>
                <c:pt idx="71">
                  <c:v>1.0479469508973536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91-4853-99B0-2B9F6B9BF909}"/>
            </c:ext>
          </c:extLst>
        </c:ser>
        <c:ser>
          <c:idx val="5"/>
          <c:order val="4"/>
          <c:tx>
            <c:strRef>
              <c:f>IC計算!$U$11</c:f>
              <c:strCache>
                <c:ptCount val="1"/>
                <c:pt idx="0">
                  <c:v>998</c:v>
                </c:pt>
              </c:strCache>
            </c:strRef>
          </c:tx>
          <c:spPr>
            <a:ln w="12700">
              <a:solidFill>
                <a:srgbClr val="009900"/>
              </a:solidFill>
            </a:ln>
          </c:spPr>
          <c:marker>
            <c:symbol val="circle"/>
            <c:size val="2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IC計算!$V$15:$V$104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3.6131602587451255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5.1336269832747234</c:v>
                </c:pt>
                <c:pt idx="18">
                  <c:v>5.4184299335766042</c:v>
                </c:pt>
                <c:pt idx="19">
                  <c:v>5.4184299335766042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5.8838064650489343</c:v>
                </c:pt>
                <c:pt idx="23">
                  <c:v>6.1566028270362665</c:v>
                </c:pt>
                <c:pt idx="24">
                  <c:v>6.4537757331346342</c:v>
                </c:pt>
                <c:pt idx="25">
                  <c:v>6.6077100522104857</c:v>
                </c:pt>
                <c:pt idx="26">
                  <c:v>6.781092095955465</c:v>
                </c:pt>
                <c:pt idx="27">
                  <c:v>7.1302472608815037</c:v>
                </c:pt>
                <c:pt idx="28">
                  <c:v>7.5085756399446382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8.7227554933352422</c:v>
                </c:pt>
                <c:pt idx="32">
                  <c:v>8.9562758532819871</c:v>
                </c:pt>
                <c:pt idx="33">
                  <c:v>9.4738153005076633</c:v>
                </c:pt>
                <c:pt idx="34">
                  <c:v>9.9217719049830535</c:v>
                </c:pt>
                <c:pt idx="35">
                  <c:v>10.246903965294329</c:v>
                </c:pt>
                <c:pt idx="37">
                  <c:v>10.35512477028923</c:v>
                </c:pt>
                <c:pt idx="38">
                  <c:v>10.356379435009007</c:v>
                </c:pt>
                <c:pt idx="39">
                  <c:v>10.407614502126766</c:v>
                </c:pt>
                <c:pt idx="40">
                  <c:v>10.445658568069483</c:v>
                </c:pt>
                <c:pt idx="41">
                  <c:v>10.457136755666674</c:v>
                </c:pt>
                <c:pt idx="42">
                  <c:v>10.513634654195634</c:v>
                </c:pt>
                <c:pt idx="43">
                  <c:v>10.513634654195634</c:v>
                </c:pt>
                <c:pt idx="44">
                  <c:v>10.585667060697908</c:v>
                </c:pt>
                <c:pt idx="45">
                  <c:v>10.605657714626256</c:v>
                </c:pt>
                <c:pt idx="46">
                  <c:v>10.64461881302439</c:v>
                </c:pt>
                <c:pt idx="47">
                  <c:v>10.69930590636687</c:v>
                </c:pt>
                <c:pt idx="48">
                  <c:v>10.70441259258503</c:v>
                </c:pt>
                <c:pt idx="49">
                  <c:v>10.770634612409332</c:v>
                </c:pt>
                <c:pt idx="50">
                  <c:v>10.770634612409332</c:v>
                </c:pt>
                <c:pt idx="51">
                  <c:v>10.860289893285524</c:v>
                </c:pt>
                <c:pt idx="52">
                  <c:v>10.891652978840922</c:v>
                </c:pt>
                <c:pt idx="53">
                  <c:v>10.931921927801636</c:v>
                </c:pt>
                <c:pt idx="54">
                  <c:v>10.984216601890552</c:v>
                </c:pt>
                <c:pt idx="55">
                  <c:v>11.002603236898572</c:v>
                </c:pt>
                <c:pt idx="56">
                  <c:v>11.05741398078932</c:v>
                </c:pt>
                <c:pt idx="57">
                  <c:v>11.078367029906744</c:v>
                </c:pt>
                <c:pt idx="58">
                  <c:v>11.131487072468836</c:v>
                </c:pt>
                <c:pt idx="59">
                  <c:v>11.261200237630561</c:v>
                </c:pt>
                <c:pt idx="60">
                  <c:v>11.271594361823745</c:v>
                </c:pt>
                <c:pt idx="61">
                  <c:v>11.286586950993106</c:v>
                </c:pt>
                <c:pt idx="62">
                  <c:v>11.337510118325634</c:v>
                </c:pt>
                <c:pt idx="63">
                  <c:v>11.308890505214187</c:v>
                </c:pt>
                <c:pt idx="64">
                  <c:v>11.237053930107097</c:v>
                </c:pt>
                <c:pt idx="65">
                  <c:v>11.144264962779069</c:v>
                </c:pt>
                <c:pt idx="66">
                  <c:v>10.816496086432547</c:v>
                </c:pt>
                <c:pt idx="67">
                  <c:v>10.394833698877877</c:v>
                </c:pt>
                <c:pt idx="68">
                  <c:v>9.7189741327521517</c:v>
                </c:pt>
                <c:pt idx="69">
                  <c:v>8.6389052900458765</c:v>
                </c:pt>
                <c:pt idx="70">
                  <c:v>7.2159226274913468</c:v>
                </c:pt>
                <c:pt idx="71">
                  <c:v>5.5515330676397516</c:v>
                </c:pt>
                <c:pt idx="72">
                  <c:v>4.0125911581759155</c:v>
                </c:pt>
                <c:pt idx="73">
                  <c:v>2.8843663702541082</c:v>
                </c:pt>
                <c:pt idx="74">
                  <c:v>2.1626121918560055</c:v>
                </c:pt>
                <c:pt idx="75">
                  <c:v>1.7582778939837518</c:v>
                </c:pt>
                <c:pt idx="76">
                  <c:v>1.0479469508973536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91-4853-99B0-2B9F6B9BF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8976"/>
        <c:axId val="41511552"/>
      </c:scatterChart>
      <c:valAx>
        <c:axId val="4151155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 baseline="0"/>
                  <a:t>⊿</a:t>
                </a:r>
                <a:r>
                  <a:rPr lang="en-US" altLang="ja-JP" baseline="0"/>
                  <a:t>E</a:t>
                </a:r>
                <a:r>
                  <a:rPr lang="ja-JP" altLang="en-US" baseline="0"/>
                  <a:t> </a:t>
                </a:r>
                <a:r>
                  <a:rPr lang="en-US" altLang="ja-JP" baseline="0"/>
                  <a:t>IC2[MeV]  </a:t>
                </a:r>
                <a:r>
                  <a:rPr lang="en-US" altLang="ja-JP"/>
                  <a:t> </a:t>
                </a:r>
                <a:r>
                  <a:rPr lang="ja-JP" altLang="en-US">
                    <a:solidFill>
                      <a:srgbClr val="FF0000"/>
                    </a:solidFill>
                  </a:rPr>
                  <a:t>⊿</a:t>
                </a:r>
                <a:r>
                  <a:rPr lang="en-US" altLang="ja-JP">
                    <a:solidFill>
                      <a:srgbClr val="FF0000"/>
                    </a:solidFill>
                  </a:rPr>
                  <a:t>Eclc</a:t>
                </a:r>
                <a:endParaRPr lang="ja-JP" altLang="en-US">
                  <a:solidFill>
                    <a:srgbClr val="FF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2463425925925926E-2"/>
              <c:y val="0.27605709876543211"/>
            </c:manualLayout>
          </c:layout>
          <c:overlay val="0"/>
        </c:title>
        <c:numFmt formatCode="0.0_ " sourceLinked="0"/>
        <c:majorTickMark val="cross"/>
        <c:minorTickMark val="in"/>
        <c:tickLblPos val="nextTo"/>
        <c:crossAx val="41518976"/>
        <c:crosses val="autoZero"/>
        <c:crossBetween val="midCat"/>
      </c:valAx>
      <c:valAx>
        <c:axId val="41518976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Edeg [μm]</a:t>
                </a:r>
                <a:r>
                  <a:rPr lang="ja-JP" altLang="en-US"/>
                  <a:t>　</a:t>
                </a:r>
                <a:r>
                  <a:rPr lang="en-US" altLang="ja-JP">
                    <a:solidFill>
                      <a:srgbClr val="C00000"/>
                    </a:solidFill>
                  </a:rPr>
                  <a:t>Th0</a:t>
                </a:r>
              </a:p>
            </c:rich>
          </c:tx>
          <c:overlay val="0"/>
        </c:title>
        <c:numFmt formatCode="0_ " sourceLinked="0"/>
        <c:majorTickMark val="cross"/>
        <c:minorTickMark val="in"/>
        <c:tickLblPos val="nextTo"/>
        <c:spPr>
          <a:ln/>
        </c:spPr>
        <c:crossAx val="41511552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6379936913972595"/>
          <c:y val="0.21545508856497469"/>
          <c:w val="0.12024212962962963"/>
          <c:h val="0.2544077160493827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IC解析!$BF$87</c:f>
          <c:strCache>
            <c:ptCount val="1"/>
            <c:pt idx="0">
              <c:v>IC1[A] raw</c:v>
            </c:pt>
          </c:strCache>
        </c:strRef>
      </c:tx>
      <c:layout>
        <c:manualLayout>
          <c:xMode val="edge"/>
          <c:yMode val="edge"/>
          <c:x val="0.21724097222222222"/>
          <c:y val="2.0542222222222229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580439814814811"/>
          <c:y val="4.7592592592592596E-2"/>
          <c:w val="0.76080856481481485"/>
          <c:h val="0.69572500000000004"/>
        </c:manualLayout>
      </c:layout>
      <c:scatterChart>
        <c:scatterStyle val="smoothMarker"/>
        <c:varyColors val="0"/>
        <c:ser>
          <c:idx val="0"/>
          <c:order val="0"/>
          <c:tx>
            <c:v>IC1[A]</c:v>
          </c:tx>
          <c:spPr>
            <a:ln>
              <a:noFill/>
            </a:ln>
          </c:spPr>
          <c:marker>
            <c:symbol val="square"/>
            <c:size val="6"/>
            <c:spPr>
              <a:noFill/>
              <a:ln>
                <a:solidFill>
                  <a:srgbClr val="00CC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IC解析!$Z$15:$Z$71</c:f>
                <c:numCache>
                  <c:formatCode>General</c:formatCode>
                  <c:ptCount val="57"/>
                  <c:pt idx="0">
                    <c:v>7.2810000000000001E-8</c:v>
                  </c:pt>
                  <c:pt idx="1">
                    <c:v>8.8349999999999994E-8</c:v>
                  </c:pt>
                  <c:pt idx="2">
                    <c:v>8.2170000000000001E-8</c:v>
                  </c:pt>
                  <c:pt idx="3">
                    <c:v>5.3349999999999998E-8</c:v>
                  </c:pt>
                  <c:pt idx="4">
                    <c:v>6.3510000000000004E-8</c:v>
                  </c:pt>
                  <c:pt idx="5">
                    <c:v>6.5540000000000003E-8</c:v>
                  </c:pt>
                  <c:pt idx="6">
                    <c:v>6.4049999999999995E-8</c:v>
                  </c:pt>
                  <c:pt idx="7">
                    <c:v>8.762E-8</c:v>
                  </c:pt>
                  <c:pt idx="8">
                    <c:v>8.2170000000000001E-8</c:v>
                  </c:pt>
                  <c:pt idx="9">
                    <c:v>3.9039999999999998E-8</c:v>
                  </c:pt>
                  <c:pt idx="10">
                    <c:v>6.2470000000000003E-8</c:v>
                  </c:pt>
                  <c:pt idx="11">
                    <c:v>5.404E-8</c:v>
                  </c:pt>
                  <c:pt idx="12">
                    <c:v>6.1690000000000005E-8</c:v>
                  </c:pt>
                  <c:pt idx="13">
                    <c:v>6.4659999999999998E-8</c:v>
                  </c:pt>
                  <c:pt idx="14">
                    <c:v>7.2429999999999994E-8</c:v>
                  </c:pt>
                  <c:pt idx="15">
                    <c:v>6.514E-8</c:v>
                  </c:pt>
                  <c:pt idx="16">
                    <c:v>8.4320000000000003E-8</c:v>
                  </c:pt>
                  <c:pt idx="17">
                    <c:v>6.9320000000000001E-8</c:v>
                  </c:pt>
                  <c:pt idx="18">
                    <c:v>6.8789999999999996E-8</c:v>
                  </c:pt>
                  <c:pt idx="19">
                    <c:v>6.032E-8</c:v>
                  </c:pt>
                  <c:pt idx="20">
                    <c:v>7.7190000000000005E-8</c:v>
                  </c:pt>
                  <c:pt idx="21">
                    <c:v>3.501E-8</c:v>
                  </c:pt>
                  <c:pt idx="22">
                    <c:v>4.6490000000000001E-8</c:v>
                  </c:pt>
                  <c:pt idx="23">
                    <c:v>6.3310000000000002E-8</c:v>
                  </c:pt>
                  <c:pt idx="24">
                    <c:v>4.6569999999999999E-8</c:v>
                  </c:pt>
                  <c:pt idx="25">
                    <c:v>5.1399999999999997E-8</c:v>
                  </c:pt>
                  <c:pt idx="26">
                    <c:v>3.627E-8</c:v>
                  </c:pt>
                  <c:pt idx="27">
                    <c:v>8.9299999999999999E-8</c:v>
                  </c:pt>
                  <c:pt idx="28">
                    <c:v>6.8579999999999996E-8</c:v>
                  </c:pt>
                  <c:pt idx="29">
                    <c:v>3.9809999999999997E-8</c:v>
                  </c:pt>
                  <c:pt idx="30">
                    <c:v>4.4120000000000001E-8</c:v>
                  </c:pt>
                  <c:pt idx="31">
                    <c:v>7.8230000000000006E-8</c:v>
                  </c:pt>
                  <c:pt idx="32">
                    <c:v>4.252E-8</c:v>
                  </c:pt>
                  <c:pt idx="33">
                    <c:v>6.9709999999999994E-8</c:v>
                  </c:pt>
                  <c:pt idx="34">
                    <c:v>5.7270000000000003E-8</c:v>
                  </c:pt>
                  <c:pt idx="35">
                    <c:v>7.1120000000000004E-8</c:v>
                  </c:pt>
                  <c:pt idx="36">
                    <c:v>6.0290000000000006E-8</c:v>
                  </c:pt>
                  <c:pt idx="37">
                    <c:v>3.8080000000000001E-8</c:v>
                  </c:pt>
                </c:numCache>
              </c:numRef>
            </c:plus>
            <c:minus>
              <c:numRef>
                <c:f>IC解析!$Z$15:$Z$71</c:f>
                <c:numCache>
                  <c:formatCode>General</c:formatCode>
                  <c:ptCount val="57"/>
                  <c:pt idx="0">
                    <c:v>7.2810000000000001E-8</c:v>
                  </c:pt>
                  <c:pt idx="1">
                    <c:v>8.8349999999999994E-8</c:v>
                  </c:pt>
                  <c:pt idx="2">
                    <c:v>8.2170000000000001E-8</c:v>
                  </c:pt>
                  <c:pt idx="3">
                    <c:v>5.3349999999999998E-8</c:v>
                  </c:pt>
                  <c:pt idx="4">
                    <c:v>6.3510000000000004E-8</c:v>
                  </c:pt>
                  <c:pt idx="5">
                    <c:v>6.5540000000000003E-8</c:v>
                  </c:pt>
                  <c:pt idx="6">
                    <c:v>6.4049999999999995E-8</c:v>
                  </c:pt>
                  <c:pt idx="7">
                    <c:v>8.762E-8</c:v>
                  </c:pt>
                  <c:pt idx="8">
                    <c:v>8.2170000000000001E-8</c:v>
                  </c:pt>
                  <c:pt idx="9">
                    <c:v>3.9039999999999998E-8</c:v>
                  </c:pt>
                  <c:pt idx="10">
                    <c:v>6.2470000000000003E-8</c:v>
                  </c:pt>
                  <c:pt idx="11">
                    <c:v>5.404E-8</c:v>
                  </c:pt>
                  <c:pt idx="12">
                    <c:v>6.1690000000000005E-8</c:v>
                  </c:pt>
                  <c:pt idx="13">
                    <c:v>6.4659999999999998E-8</c:v>
                  </c:pt>
                  <c:pt idx="14">
                    <c:v>7.2429999999999994E-8</c:v>
                  </c:pt>
                  <c:pt idx="15">
                    <c:v>6.514E-8</c:v>
                  </c:pt>
                  <c:pt idx="16">
                    <c:v>8.4320000000000003E-8</c:v>
                  </c:pt>
                  <c:pt idx="17">
                    <c:v>6.9320000000000001E-8</c:v>
                  </c:pt>
                  <c:pt idx="18">
                    <c:v>6.8789999999999996E-8</c:v>
                  </c:pt>
                  <c:pt idx="19">
                    <c:v>6.032E-8</c:v>
                  </c:pt>
                  <c:pt idx="20">
                    <c:v>7.7190000000000005E-8</c:v>
                  </c:pt>
                  <c:pt idx="21">
                    <c:v>3.501E-8</c:v>
                  </c:pt>
                  <c:pt idx="22">
                    <c:v>4.6490000000000001E-8</c:v>
                  </c:pt>
                  <c:pt idx="23">
                    <c:v>6.3310000000000002E-8</c:v>
                  </c:pt>
                  <c:pt idx="24">
                    <c:v>4.6569999999999999E-8</c:v>
                  </c:pt>
                  <c:pt idx="25">
                    <c:v>5.1399999999999997E-8</c:v>
                  </c:pt>
                  <c:pt idx="26">
                    <c:v>3.627E-8</c:v>
                  </c:pt>
                  <c:pt idx="27">
                    <c:v>8.9299999999999999E-8</c:v>
                  </c:pt>
                  <c:pt idx="28">
                    <c:v>6.8579999999999996E-8</c:v>
                  </c:pt>
                  <c:pt idx="29">
                    <c:v>3.9809999999999997E-8</c:v>
                  </c:pt>
                  <c:pt idx="30">
                    <c:v>4.4120000000000001E-8</c:v>
                  </c:pt>
                  <c:pt idx="31">
                    <c:v>7.8230000000000006E-8</c:v>
                  </c:pt>
                  <c:pt idx="32">
                    <c:v>4.252E-8</c:v>
                  </c:pt>
                  <c:pt idx="33">
                    <c:v>6.9709999999999994E-8</c:v>
                  </c:pt>
                  <c:pt idx="34">
                    <c:v>5.7270000000000003E-8</c:v>
                  </c:pt>
                  <c:pt idx="35">
                    <c:v>7.1120000000000004E-8</c:v>
                  </c:pt>
                  <c:pt idx="36">
                    <c:v>6.0290000000000006E-8</c:v>
                  </c:pt>
                  <c:pt idx="37">
                    <c:v>3.8080000000000001E-8</c:v>
                  </c:pt>
                </c:numCache>
              </c:numRef>
            </c:minus>
            <c:spPr>
              <a:ln>
                <a:solidFill>
                  <a:srgbClr val="00CC00"/>
                </a:solidFill>
              </a:ln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IC解析!$Y$15:$Y$71</c:f>
              <c:numCache>
                <c:formatCode>0.00E+00</c:formatCode>
                <c:ptCount val="57"/>
                <c:pt idx="0">
                  <c:v>1.968E-6</c:v>
                </c:pt>
                <c:pt idx="1">
                  <c:v>1.962E-6</c:v>
                </c:pt>
                <c:pt idx="2">
                  <c:v>1.9769999999999999E-6</c:v>
                </c:pt>
                <c:pt idx="3">
                  <c:v>2.0020000000000001E-6</c:v>
                </c:pt>
                <c:pt idx="4">
                  <c:v>2.0150000000000002E-6</c:v>
                </c:pt>
                <c:pt idx="5">
                  <c:v>1.9690000000000001E-6</c:v>
                </c:pt>
                <c:pt idx="6">
                  <c:v>1.9470000000000002E-6</c:v>
                </c:pt>
                <c:pt idx="7">
                  <c:v>1.9819999999999998E-6</c:v>
                </c:pt>
                <c:pt idx="8">
                  <c:v>2.0190000000000001E-6</c:v>
                </c:pt>
                <c:pt idx="9">
                  <c:v>1.9599999999999999E-6</c:v>
                </c:pt>
                <c:pt idx="10">
                  <c:v>1.922E-6</c:v>
                </c:pt>
                <c:pt idx="11">
                  <c:v>1.95E-6</c:v>
                </c:pt>
                <c:pt idx="12">
                  <c:v>1.968E-6</c:v>
                </c:pt>
                <c:pt idx="13">
                  <c:v>1.9759999999999998E-6</c:v>
                </c:pt>
                <c:pt idx="14">
                  <c:v>1.9130000000000001E-6</c:v>
                </c:pt>
                <c:pt idx="15">
                  <c:v>1.9369999999999998E-6</c:v>
                </c:pt>
                <c:pt idx="16">
                  <c:v>1.933E-6</c:v>
                </c:pt>
                <c:pt idx="17">
                  <c:v>1.8950000000000001E-6</c:v>
                </c:pt>
                <c:pt idx="18">
                  <c:v>1.891E-6</c:v>
                </c:pt>
                <c:pt idx="19">
                  <c:v>1.897E-6</c:v>
                </c:pt>
                <c:pt idx="20">
                  <c:v>1.911E-6</c:v>
                </c:pt>
                <c:pt idx="21">
                  <c:v>1.9640000000000002E-6</c:v>
                </c:pt>
                <c:pt idx="22">
                  <c:v>1.889E-6</c:v>
                </c:pt>
                <c:pt idx="23">
                  <c:v>1.906E-6</c:v>
                </c:pt>
                <c:pt idx="24">
                  <c:v>1.897E-6</c:v>
                </c:pt>
                <c:pt idx="25">
                  <c:v>1.8870000000000001E-6</c:v>
                </c:pt>
                <c:pt idx="26">
                  <c:v>1.872E-6</c:v>
                </c:pt>
                <c:pt idx="27">
                  <c:v>1.863E-6</c:v>
                </c:pt>
                <c:pt idx="28">
                  <c:v>1.9269999999999999E-6</c:v>
                </c:pt>
                <c:pt idx="29">
                  <c:v>1.891E-6</c:v>
                </c:pt>
                <c:pt idx="30">
                  <c:v>1.9230000000000001E-6</c:v>
                </c:pt>
                <c:pt idx="31">
                  <c:v>1.9290000000000001E-6</c:v>
                </c:pt>
                <c:pt idx="32">
                  <c:v>1.911E-6</c:v>
                </c:pt>
                <c:pt idx="33">
                  <c:v>1.939E-6</c:v>
                </c:pt>
                <c:pt idx="34">
                  <c:v>1.897E-6</c:v>
                </c:pt>
                <c:pt idx="35">
                  <c:v>1.9089999999999998E-6</c:v>
                </c:pt>
                <c:pt idx="36">
                  <c:v>1.8810000000000001E-6</c:v>
                </c:pt>
                <c:pt idx="37">
                  <c:v>1.9039999999999999E-6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47-4952-B878-F073DCD86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13152"/>
        <c:axId val="42935808"/>
      </c:scatterChart>
      <c:valAx>
        <c:axId val="42913152"/>
        <c:scaling>
          <c:orientation val="minMax"/>
          <c:max val="1000"/>
          <c:min val="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Th0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39871226851851854"/>
              <c:y val="0.94203657407407404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935808"/>
        <c:crosses val="autoZero"/>
        <c:crossBetween val="midCat"/>
      </c:valAx>
      <c:valAx>
        <c:axId val="42935808"/>
        <c:scaling>
          <c:orientation val="minMax"/>
          <c:max val="5.0000000000000013E-6"/>
          <c:min val="1.7E-6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r>
                  <a:rPr lang="en-US" altLang="ja-JP" baseline="0">
                    <a:solidFill>
                      <a:schemeClr val="tx1"/>
                    </a:solidFill>
                    <a:latin typeface="+mn-ea"/>
                    <a:ea typeface="+mn-ea"/>
                  </a:rPr>
                  <a:t>IC1 [A]</a:t>
                </a:r>
                <a:r>
                  <a:rPr lang="ja-JP" altLang="en-US" baseline="0">
                    <a:solidFill>
                      <a:schemeClr val="tx1"/>
                    </a:solidFill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raw</a:t>
                </a:r>
                <a:endParaRPr lang="ja-JP" altLang="en-US">
                  <a:solidFill>
                    <a:srgbClr val="0000FF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1.6402777777777776E-3"/>
              <c:y val="0.22054722222222223"/>
            </c:manualLayout>
          </c:layout>
          <c:overlay val="0"/>
        </c:title>
        <c:numFmt formatCode="0.0E+0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913152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977766203703703"/>
          <c:y val="0.60548611111111106"/>
          <c:w val="0.16812476851851851"/>
          <c:h val="0.11819598765432097"/>
        </c:manualLayout>
      </c:layout>
      <c:overlay val="0"/>
      <c:spPr>
        <a:noFill/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IC解析!$BF$85</c:f>
          <c:strCache>
            <c:ptCount val="1"/>
            <c:pt idx="0">
              <c:v>IC2[A] raw</c:v>
            </c:pt>
          </c:strCache>
        </c:strRef>
      </c:tx>
      <c:layout>
        <c:manualLayout>
          <c:xMode val="edge"/>
          <c:yMode val="edge"/>
          <c:x val="0.20800162037037037"/>
          <c:y val="3.2953703703703699E-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578356481481481"/>
          <c:y val="4.7592592592592596E-2"/>
          <c:w val="0.75346527777777783"/>
          <c:h val="0.74906150793650783"/>
        </c:manualLayout>
      </c:layout>
      <c:scatterChart>
        <c:scatterStyle val="smoothMarker"/>
        <c:varyColors val="0"/>
        <c:ser>
          <c:idx val="0"/>
          <c:order val="0"/>
          <c:tx>
            <c:v>IC2[A]</c:v>
          </c:tx>
          <c:spPr>
            <a:ln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00FF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IC解析!$AB$15:$AB$71</c:f>
                <c:numCache>
                  <c:formatCode>General</c:formatCode>
                  <c:ptCount val="57"/>
                  <c:pt idx="0">
                    <c:v>3.7139999999999998E-10</c:v>
                  </c:pt>
                  <c:pt idx="1">
                    <c:v>5.8930000000000002E-10</c:v>
                  </c:pt>
                  <c:pt idx="2">
                    <c:v>4.2780000000000001E-10</c:v>
                  </c:pt>
                  <c:pt idx="3">
                    <c:v>4.4520000000000002E-10</c:v>
                  </c:pt>
                  <c:pt idx="4">
                    <c:v>4.1169999999999998E-10</c:v>
                  </c:pt>
                  <c:pt idx="5">
                    <c:v>5.8409999999999998E-10</c:v>
                  </c:pt>
                  <c:pt idx="6">
                    <c:v>5.3470000000000003E-10</c:v>
                  </c:pt>
                  <c:pt idx="7">
                    <c:v>4.3340000000000001E-9</c:v>
                  </c:pt>
                  <c:pt idx="8">
                    <c:v>7.0860000000000001E-10</c:v>
                  </c:pt>
                  <c:pt idx="9">
                    <c:v>8.2949999999999998E-10</c:v>
                  </c:pt>
                  <c:pt idx="10">
                    <c:v>8.1089999999999996E-10</c:v>
                  </c:pt>
                  <c:pt idx="11">
                    <c:v>5.5530000000000002E-9</c:v>
                  </c:pt>
                  <c:pt idx="12">
                    <c:v>8.2090000000000003E-10</c:v>
                  </c:pt>
                  <c:pt idx="13">
                    <c:v>1.055E-9</c:v>
                  </c:pt>
                  <c:pt idx="14">
                    <c:v>5.7029999999999998E-10</c:v>
                  </c:pt>
                  <c:pt idx="15">
                    <c:v>1.0480000000000001E-9</c:v>
                  </c:pt>
                  <c:pt idx="16">
                    <c:v>7.7240000000000002E-9</c:v>
                  </c:pt>
                  <c:pt idx="17">
                    <c:v>1.092E-9</c:v>
                  </c:pt>
                  <c:pt idx="18">
                    <c:v>1.4990000000000001E-9</c:v>
                  </c:pt>
                  <c:pt idx="19">
                    <c:v>1.0709999999999999E-9</c:v>
                  </c:pt>
                  <c:pt idx="20">
                    <c:v>9.5160000000000006E-9</c:v>
                  </c:pt>
                  <c:pt idx="21">
                    <c:v>1.165E-9</c:v>
                  </c:pt>
                  <c:pt idx="22">
                    <c:v>1.312E-9</c:v>
                  </c:pt>
                  <c:pt idx="23">
                    <c:v>1.5529999999999999E-9</c:v>
                  </c:pt>
                  <c:pt idx="24">
                    <c:v>1.301E-9</c:v>
                  </c:pt>
                  <c:pt idx="25">
                    <c:v>1.064E-8</c:v>
                  </c:pt>
                  <c:pt idx="26">
                    <c:v>1.637E-9</c:v>
                  </c:pt>
                  <c:pt idx="27">
                    <c:v>1.5090000000000001E-9</c:v>
                  </c:pt>
                  <c:pt idx="28">
                    <c:v>4.4640000000000003E-9</c:v>
                  </c:pt>
                  <c:pt idx="29">
                    <c:v>8.0919999999999996E-10</c:v>
                  </c:pt>
                  <c:pt idx="30">
                    <c:v>3.3799999999999999E-9</c:v>
                  </c:pt>
                  <c:pt idx="31">
                    <c:v>4.7200000000000002E-10</c:v>
                  </c:pt>
                  <c:pt idx="32">
                    <c:v>5.7340000000000001E-10</c:v>
                  </c:pt>
                  <c:pt idx="33">
                    <c:v>2.69E-10</c:v>
                  </c:pt>
                  <c:pt idx="34">
                    <c:v>2.678E-10</c:v>
                  </c:pt>
                  <c:pt idx="35">
                    <c:v>2.8879999999999997E-10</c:v>
                  </c:pt>
                  <c:pt idx="36">
                    <c:v>1.2130000000000001E-10</c:v>
                  </c:pt>
                  <c:pt idx="37">
                    <c:v>1.966E-10</c:v>
                  </c:pt>
                </c:numCache>
              </c:numRef>
            </c:plus>
            <c:minus>
              <c:numRef>
                <c:f>IC解析!$AB$15:$AB$71</c:f>
                <c:numCache>
                  <c:formatCode>General</c:formatCode>
                  <c:ptCount val="57"/>
                  <c:pt idx="0">
                    <c:v>3.7139999999999998E-10</c:v>
                  </c:pt>
                  <c:pt idx="1">
                    <c:v>5.8930000000000002E-10</c:v>
                  </c:pt>
                  <c:pt idx="2">
                    <c:v>4.2780000000000001E-10</c:v>
                  </c:pt>
                  <c:pt idx="3">
                    <c:v>4.4520000000000002E-10</c:v>
                  </c:pt>
                  <c:pt idx="4">
                    <c:v>4.1169999999999998E-10</c:v>
                  </c:pt>
                  <c:pt idx="5">
                    <c:v>5.8409999999999998E-10</c:v>
                  </c:pt>
                  <c:pt idx="6">
                    <c:v>5.3470000000000003E-10</c:v>
                  </c:pt>
                  <c:pt idx="7">
                    <c:v>4.3340000000000001E-9</c:v>
                  </c:pt>
                  <c:pt idx="8">
                    <c:v>7.0860000000000001E-10</c:v>
                  </c:pt>
                  <c:pt idx="9">
                    <c:v>8.2949999999999998E-10</c:v>
                  </c:pt>
                  <c:pt idx="10">
                    <c:v>8.1089999999999996E-10</c:v>
                  </c:pt>
                  <c:pt idx="11">
                    <c:v>5.5530000000000002E-9</c:v>
                  </c:pt>
                  <c:pt idx="12">
                    <c:v>8.2090000000000003E-10</c:v>
                  </c:pt>
                  <c:pt idx="13">
                    <c:v>1.055E-9</c:v>
                  </c:pt>
                  <c:pt idx="14">
                    <c:v>5.7029999999999998E-10</c:v>
                  </c:pt>
                  <c:pt idx="15">
                    <c:v>1.0480000000000001E-9</c:v>
                  </c:pt>
                  <c:pt idx="16">
                    <c:v>7.7240000000000002E-9</c:v>
                  </c:pt>
                  <c:pt idx="17">
                    <c:v>1.092E-9</c:v>
                  </c:pt>
                  <c:pt idx="18">
                    <c:v>1.4990000000000001E-9</c:v>
                  </c:pt>
                  <c:pt idx="19">
                    <c:v>1.0709999999999999E-9</c:v>
                  </c:pt>
                  <c:pt idx="20">
                    <c:v>9.5160000000000006E-9</c:v>
                  </c:pt>
                  <c:pt idx="21">
                    <c:v>1.165E-9</c:v>
                  </c:pt>
                  <c:pt idx="22">
                    <c:v>1.312E-9</c:v>
                  </c:pt>
                  <c:pt idx="23">
                    <c:v>1.5529999999999999E-9</c:v>
                  </c:pt>
                  <c:pt idx="24">
                    <c:v>1.301E-9</c:v>
                  </c:pt>
                  <c:pt idx="25">
                    <c:v>1.064E-8</c:v>
                  </c:pt>
                  <c:pt idx="26">
                    <c:v>1.637E-9</c:v>
                  </c:pt>
                  <c:pt idx="27">
                    <c:v>1.5090000000000001E-9</c:v>
                  </c:pt>
                  <c:pt idx="28">
                    <c:v>4.4640000000000003E-9</c:v>
                  </c:pt>
                  <c:pt idx="29">
                    <c:v>8.0919999999999996E-10</c:v>
                  </c:pt>
                  <c:pt idx="30">
                    <c:v>3.3799999999999999E-9</c:v>
                  </c:pt>
                  <c:pt idx="31">
                    <c:v>4.7200000000000002E-10</c:v>
                  </c:pt>
                  <c:pt idx="32">
                    <c:v>5.7340000000000001E-10</c:v>
                  </c:pt>
                  <c:pt idx="33">
                    <c:v>2.69E-10</c:v>
                  </c:pt>
                  <c:pt idx="34">
                    <c:v>2.678E-10</c:v>
                  </c:pt>
                  <c:pt idx="35">
                    <c:v>2.8879999999999997E-10</c:v>
                  </c:pt>
                  <c:pt idx="36">
                    <c:v>1.2130000000000001E-10</c:v>
                  </c:pt>
                  <c:pt idx="37">
                    <c:v>1.966E-10</c:v>
                  </c:pt>
                </c:numCache>
              </c:numRef>
            </c:minus>
            <c:spPr>
              <a:ln>
                <a:solidFill>
                  <a:srgbClr val="0000FF"/>
                </a:solidFill>
              </a:ln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IC解析!$AT$15:$AT$71</c:f>
              <c:numCache>
                <c:formatCode>0.00E+00</c:formatCode>
                <c:ptCount val="57"/>
                <c:pt idx="0">
                  <c:v>1.2295263559050063E-8</c:v>
                </c:pt>
                <c:pt idx="1">
                  <c:v>1.2972637212296794E-8</c:v>
                </c:pt>
                <c:pt idx="2">
                  <c:v>1.384124151425605E-8</c:v>
                </c:pt>
                <c:pt idx="3">
                  <c:v>1.4227867527209631E-8</c:v>
                </c:pt>
                <c:pt idx="4">
                  <c:v>1.4749436724565754E-8</c:v>
                </c:pt>
                <c:pt idx="5">
                  <c:v>1.5525552511293468E-8</c:v>
                </c:pt>
                <c:pt idx="6">
                  <c:v>1.6682913794501661E-8</c:v>
                </c:pt>
                <c:pt idx="7">
                  <c:v>1.5599100191194436E-8</c:v>
                </c:pt>
                <c:pt idx="8">
                  <c:v>1.7943550480957223E-8</c:v>
                </c:pt>
                <c:pt idx="9">
                  <c:v>2.0316292427497312E-8</c:v>
                </c:pt>
                <c:pt idx="10">
                  <c:v>2.1079677693192395E-8</c:v>
                </c:pt>
                <c:pt idx="11">
                  <c:v>2.0390768825910929E-8</c:v>
                </c:pt>
                <c:pt idx="12">
                  <c:v>2.3265817955712448E-8</c:v>
                </c:pt>
                <c:pt idx="13">
                  <c:v>2.5194621510760708E-8</c:v>
                </c:pt>
                <c:pt idx="14">
                  <c:v>2.7609225658238639E-8</c:v>
                </c:pt>
                <c:pt idx="15">
                  <c:v>2.8902170611091487E-8</c:v>
                </c:pt>
                <c:pt idx="16">
                  <c:v>2.742346706782476E-8</c:v>
                </c:pt>
                <c:pt idx="17">
                  <c:v>3.1315922649631994E-8</c:v>
                </c:pt>
                <c:pt idx="18">
                  <c:v>3.1862139219015277E-8</c:v>
                </c:pt>
                <c:pt idx="19">
                  <c:v>3.4316523735538105E-8</c:v>
                </c:pt>
                <c:pt idx="20">
                  <c:v>3.3226376931339331E-8</c:v>
                </c:pt>
                <c:pt idx="21">
                  <c:v>3.7442714117268722E-8</c:v>
                </c:pt>
                <c:pt idx="22">
                  <c:v>3.8970214817085058E-8</c:v>
                </c:pt>
                <c:pt idx="23">
                  <c:v>3.9423048130557242E-8</c:v>
                </c:pt>
                <c:pt idx="24">
                  <c:v>4.0455017895291726E-8</c:v>
                </c:pt>
                <c:pt idx="25">
                  <c:v>3.7589010543050785E-8</c:v>
                </c:pt>
                <c:pt idx="26">
                  <c:v>4.1686446103238867E-8</c:v>
                </c:pt>
                <c:pt idx="27">
                  <c:v>3.8684825832697688E-8</c:v>
                </c:pt>
                <c:pt idx="28">
                  <c:v>2.6396474203151885E-8</c:v>
                </c:pt>
                <c:pt idx="29">
                  <c:v>2.081251273344652E-8</c:v>
                </c:pt>
                <c:pt idx="30">
                  <c:v>1.1387952212825353E-8</c:v>
                </c:pt>
                <c:pt idx="31">
                  <c:v>7.8266390275845116E-9</c:v>
                </c:pt>
                <c:pt idx="32">
                  <c:v>2.5819158473105836E-9</c:v>
                </c:pt>
                <c:pt idx="33">
                  <c:v>1.1363698460953829E-9</c:v>
                </c:pt>
                <c:pt idx="34">
                  <c:v>6.8704306938934039E-10</c:v>
                </c:pt>
                <c:pt idx="35">
                  <c:v>6.1423944197844017E-10</c:v>
                </c:pt>
                <c:pt idx="36">
                  <c:v>3.5460544783010154E-10</c:v>
                </c:pt>
                <c:pt idx="37">
                  <c:v>3.7060686919504644E-10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85-4941-A9E0-BF450DEA1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77920"/>
        <c:axId val="42980096"/>
      </c:scatterChart>
      <c:valAx>
        <c:axId val="42977920"/>
        <c:scaling>
          <c:orientation val="minMax"/>
          <c:max val="950"/>
          <c:min val="70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Th0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39871226851851854"/>
              <c:y val="0.94203657407407404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980096"/>
        <c:crosses val="autoZero"/>
        <c:crossBetween val="midCat"/>
      </c:valAx>
      <c:valAx>
        <c:axId val="42980096"/>
        <c:scaling>
          <c:orientation val="minMax"/>
          <c:max val="1.0000000000000004E-7"/>
          <c:min val="0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ja-JP" altLang="en-US" baseline="0"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latin typeface="+mn-ea"/>
                    <a:ea typeface="+mn-ea"/>
                  </a:rPr>
                  <a:t>IC2  [A]  </a:t>
                </a:r>
                <a:r>
                  <a:rPr lang="ja-JP" altLang="en-US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raw</a:t>
                </a:r>
                <a:endParaRPr lang="ja-JP" altLang="en-US">
                  <a:solidFill>
                    <a:srgbClr val="0000FF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3.8168981481481483E-3"/>
              <c:y val="0.18511111111111112"/>
            </c:manualLayout>
          </c:layout>
          <c:overlay val="0"/>
        </c:title>
        <c:numFmt formatCode="0.0E+0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977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619907407407409"/>
          <c:y val="0.13901898148148148"/>
          <c:w val="0.15495972222222226"/>
          <c:h val="0.1054620370370370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IC解析!$BF$85</c:f>
          <c:strCache>
            <c:ptCount val="1"/>
            <c:pt idx="0">
              <c:v>IC2[A] raw</c:v>
            </c:pt>
          </c:strCache>
        </c:strRef>
      </c:tx>
      <c:layout>
        <c:manualLayout>
          <c:xMode val="edge"/>
          <c:yMode val="edge"/>
          <c:x val="0.20800162037037037"/>
          <c:y val="3.2953703703703699E-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578356481481481"/>
          <c:y val="4.7592592592592596E-2"/>
          <c:w val="0.75346527777777783"/>
          <c:h val="0.74906150793650783"/>
        </c:manualLayout>
      </c:layout>
      <c:scatterChart>
        <c:scatterStyle val="smoothMarker"/>
        <c:varyColors val="0"/>
        <c:ser>
          <c:idx val="0"/>
          <c:order val="0"/>
          <c:tx>
            <c:v>IC2[A]</c:v>
          </c:tx>
          <c:spPr>
            <a:ln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00FF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IC解析!$AB$15:$AB$71</c:f>
                <c:numCache>
                  <c:formatCode>General</c:formatCode>
                  <c:ptCount val="57"/>
                  <c:pt idx="0">
                    <c:v>3.7139999999999998E-10</c:v>
                  </c:pt>
                  <c:pt idx="1">
                    <c:v>5.8930000000000002E-10</c:v>
                  </c:pt>
                  <c:pt idx="2">
                    <c:v>4.2780000000000001E-10</c:v>
                  </c:pt>
                  <c:pt idx="3">
                    <c:v>4.4520000000000002E-10</c:v>
                  </c:pt>
                  <c:pt idx="4">
                    <c:v>4.1169999999999998E-10</c:v>
                  </c:pt>
                  <c:pt idx="5">
                    <c:v>5.8409999999999998E-10</c:v>
                  </c:pt>
                  <c:pt idx="6">
                    <c:v>5.3470000000000003E-10</c:v>
                  </c:pt>
                  <c:pt idx="7">
                    <c:v>4.3340000000000001E-9</c:v>
                  </c:pt>
                  <c:pt idx="8">
                    <c:v>7.0860000000000001E-10</c:v>
                  </c:pt>
                  <c:pt idx="9">
                    <c:v>8.2949999999999998E-10</c:v>
                  </c:pt>
                  <c:pt idx="10">
                    <c:v>8.1089999999999996E-10</c:v>
                  </c:pt>
                  <c:pt idx="11">
                    <c:v>5.5530000000000002E-9</c:v>
                  </c:pt>
                  <c:pt idx="12">
                    <c:v>8.2090000000000003E-10</c:v>
                  </c:pt>
                  <c:pt idx="13">
                    <c:v>1.055E-9</c:v>
                  </c:pt>
                  <c:pt idx="14">
                    <c:v>5.7029999999999998E-10</c:v>
                  </c:pt>
                  <c:pt idx="15">
                    <c:v>1.0480000000000001E-9</c:v>
                  </c:pt>
                  <c:pt idx="16">
                    <c:v>7.7240000000000002E-9</c:v>
                  </c:pt>
                  <c:pt idx="17">
                    <c:v>1.092E-9</c:v>
                  </c:pt>
                  <c:pt idx="18">
                    <c:v>1.4990000000000001E-9</c:v>
                  </c:pt>
                  <c:pt idx="19">
                    <c:v>1.0709999999999999E-9</c:v>
                  </c:pt>
                  <c:pt idx="20">
                    <c:v>9.5160000000000006E-9</c:v>
                  </c:pt>
                  <c:pt idx="21">
                    <c:v>1.165E-9</c:v>
                  </c:pt>
                  <c:pt idx="22">
                    <c:v>1.312E-9</c:v>
                  </c:pt>
                  <c:pt idx="23">
                    <c:v>1.5529999999999999E-9</c:v>
                  </c:pt>
                  <c:pt idx="24">
                    <c:v>1.301E-9</c:v>
                  </c:pt>
                  <c:pt idx="25">
                    <c:v>1.064E-8</c:v>
                  </c:pt>
                  <c:pt idx="26">
                    <c:v>1.637E-9</c:v>
                  </c:pt>
                  <c:pt idx="27">
                    <c:v>1.5090000000000001E-9</c:v>
                  </c:pt>
                  <c:pt idx="28">
                    <c:v>4.4640000000000003E-9</c:v>
                  </c:pt>
                  <c:pt idx="29">
                    <c:v>8.0919999999999996E-10</c:v>
                  </c:pt>
                  <c:pt idx="30">
                    <c:v>3.3799999999999999E-9</c:v>
                  </c:pt>
                  <c:pt idx="31">
                    <c:v>4.7200000000000002E-10</c:v>
                  </c:pt>
                  <c:pt idx="32">
                    <c:v>5.7340000000000001E-10</c:v>
                  </c:pt>
                  <c:pt idx="33">
                    <c:v>2.69E-10</c:v>
                  </c:pt>
                  <c:pt idx="34">
                    <c:v>2.678E-10</c:v>
                  </c:pt>
                  <c:pt idx="35">
                    <c:v>2.8879999999999997E-10</c:v>
                  </c:pt>
                  <c:pt idx="36">
                    <c:v>1.2130000000000001E-10</c:v>
                  </c:pt>
                  <c:pt idx="37">
                    <c:v>1.966E-10</c:v>
                  </c:pt>
                </c:numCache>
              </c:numRef>
            </c:plus>
            <c:minus>
              <c:numRef>
                <c:f>IC解析!$AB$15:$AB$71</c:f>
                <c:numCache>
                  <c:formatCode>General</c:formatCode>
                  <c:ptCount val="57"/>
                  <c:pt idx="0">
                    <c:v>3.7139999999999998E-10</c:v>
                  </c:pt>
                  <c:pt idx="1">
                    <c:v>5.8930000000000002E-10</c:v>
                  </c:pt>
                  <c:pt idx="2">
                    <c:v>4.2780000000000001E-10</c:v>
                  </c:pt>
                  <c:pt idx="3">
                    <c:v>4.4520000000000002E-10</c:v>
                  </c:pt>
                  <c:pt idx="4">
                    <c:v>4.1169999999999998E-10</c:v>
                  </c:pt>
                  <c:pt idx="5">
                    <c:v>5.8409999999999998E-10</c:v>
                  </c:pt>
                  <c:pt idx="6">
                    <c:v>5.3470000000000003E-10</c:v>
                  </c:pt>
                  <c:pt idx="7">
                    <c:v>4.3340000000000001E-9</c:v>
                  </c:pt>
                  <c:pt idx="8">
                    <c:v>7.0860000000000001E-10</c:v>
                  </c:pt>
                  <c:pt idx="9">
                    <c:v>8.2949999999999998E-10</c:v>
                  </c:pt>
                  <c:pt idx="10">
                    <c:v>8.1089999999999996E-10</c:v>
                  </c:pt>
                  <c:pt idx="11">
                    <c:v>5.5530000000000002E-9</c:v>
                  </c:pt>
                  <c:pt idx="12">
                    <c:v>8.2090000000000003E-10</c:v>
                  </c:pt>
                  <c:pt idx="13">
                    <c:v>1.055E-9</c:v>
                  </c:pt>
                  <c:pt idx="14">
                    <c:v>5.7029999999999998E-10</c:v>
                  </c:pt>
                  <c:pt idx="15">
                    <c:v>1.0480000000000001E-9</c:v>
                  </c:pt>
                  <c:pt idx="16">
                    <c:v>7.7240000000000002E-9</c:v>
                  </c:pt>
                  <c:pt idx="17">
                    <c:v>1.092E-9</c:v>
                  </c:pt>
                  <c:pt idx="18">
                    <c:v>1.4990000000000001E-9</c:v>
                  </c:pt>
                  <c:pt idx="19">
                    <c:v>1.0709999999999999E-9</c:v>
                  </c:pt>
                  <c:pt idx="20">
                    <c:v>9.5160000000000006E-9</c:v>
                  </c:pt>
                  <c:pt idx="21">
                    <c:v>1.165E-9</c:v>
                  </c:pt>
                  <c:pt idx="22">
                    <c:v>1.312E-9</c:v>
                  </c:pt>
                  <c:pt idx="23">
                    <c:v>1.5529999999999999E-9</c:v>
                  </c:pt>
                  <c:pt idx="24">
                    <c:v>1.301E-9</c:v>
                  </c:pt>
                  <c:pt idx="25">
                    <c:v>1.064E-8</c:v>
                  </c:pt>
                  <c:pt idx="26">
                    <c:v>1.637E-9</c:v>
                  </c:pt>
                  <c:pt idx="27">
                    <c:v>1.5090000000000001E-9</c:v>
                  </c:pt>
                  <c:pt idx="28">
                    <c:v>4.4640000000000003E-9</c:v>
                  </c:pt>
                  <c:pt idx="29">
                    <c:v>8.0919999999999996E-10</c:v>
                  </c:pt>
                  <c:pt idx="30">
                    <c:v>3.3799999999999999E-9</c:v>
                  </c:pt>
                  <c:pt idx="31">
                    <c:v>4.7200000000000002E-10</c:v>
                  </c:pt>
                  <c:pt idx="32">
                    <c:v>5.7340000000000001E-10</c:v>
                  </c:pt>
                  <c:pt idx="33">
                    <c:v>2.69E-10</c:v>
                  </c:pt>
                  <c:pt idx="34">
                    <c:v>2.678E-10</c:v>
                  </c:pt>
                  <c:pt idx="35">
                    <c:v>2.8879999999999997E-10</c:v>
                  </c:pt>
                  <c:pt idx="36">
                    <c:v>1.2130000000000001E-10</c:v>
                  </c:pt>
                  <c:pt idx="37">
                    <c:v>1.966E-10</c:v>
                  </c:pt>
                </c:numCache>
              </c:numRef>
            </c:minus>
            <c:spPr>
              <a:ln>
                <a:solidFill>
                  <a:srgbClr val="0000FF"/>
                </a:solidFill>
              </a:ln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IC解析!$AT$15:$AT$71</c:f>
              <c:numCache>
                <c:formatCode>0.00E+00</c:formatCode>
                <c:ptCount val="57"/>
                <c:pt idx="0">
                  <c:v>1.2295263559050063E-8</c:v>
                </c:pt>
                <c:pt idx="1">
                  <c:v>1.2972637212296794E-8</c:v>
                </c:pt>
                <c:pt idx="2">
                  <c:v>1.384124151425605E-8</c:v>
                </c:pt>
                <c:pt idx="3">
                  <c:v>1.4227867527209631E-8</c:v>
                </c:pt>
                <c:pt idx="4">
                  <c:v>1.4749436724565754E-8</c:v>
                </c:pt>
                <c:pt idx="5">
                  <c:v>1.5525552511293468E-8</c:v>
                </c:pt>
                <c:pt idx="6">
                  <c:v>1.6682913794501661E-8</c:v>
                </c:pt>
                <c:pt idx="7">
                  <c:v>1.5599100191194436E-8</c:v>
                </c:pt>
                <c:pt idx="8">
                  <c:v>1.7943550480957223E-8</c:v>
                </c:pt>
                <c:pt idx="9">
                  <c:v>2.0316292427497312E-8</c:v>
                </c:pt>
                <c:pt idx="10">
                  <c:v>2.1079677693192395E-8</c:v>
                </c:pt>
                <c:pt idx="11">
                  <c:v>2.0390768825910929E-8</c:v>
                </c:pt>
                <c:pt idx="12">
                  <c:v>2.3265817955712448E-8</c:v>
                </c:pt>
                <c:pt idx="13">
                  <c:v>2.5194621510760708E-8</c:v>
                </c:pt>
                <c:pt idx="14">
                  <c:v>2.7609225658238639E-8</c:v>
                </c:pt>
                <c:pt idx="15">
                  <c:v>2.8902170611091487E-8</c:v>
                </c:pt>
                <c:pt idx="16">
                  <c:v>2.742346706782476E-8</c:v>
                </c:pt>
                <c:pt idx="17">
                  <c:v>3.1315922649631994E-8</c:v>
                </c:pt>
                <c:pt idx="18">
                  <c:v>3.1862139219015277E-8</c:v>
                </c:pt>
                <c:pt idx="19">
                  <c:v>3.4316523735538105E-8</c:v>
                </c:pt>
                <c:pt idx="20">
                  <c:v>3.3226376931339331E-8</c:v>
                </c:pt>
                <c:pt idx="21">
                  <c:v>3.7442714117268722E-8</c:v>
                </c:pt>
                <c:pt idx="22">
                  <c:v>3.8970214817085058E-8</c:v>
                </c:pt>
                <c:pt idx="23">
                  <c:v>3.9423048130557242E-8</c:v>
                </c:pt>
                <c:pt idx="24">
                  <c:v>4.0455017895291726E-8</c:v>
                </c:pt>
                <c:pt idx="25">
                  <c:v>3.7589010543050785E-8</c:v>
                </c:pt>
                <c:pt idx="26">
                  <c:v>4.1686446103238867E-8</c:v>
                </c:pt>
                <c:pt idx="27">
                  <c:v>3.8684825832697688E-8</c:v>
                </c:pt>
                <c:pt idx="28">
                  <c:v>2.6396474203151885E-8</c:v>
                </c:pt>
                <c:pt idx="29">
                  <c:v>2.081251273344652E-8</c:v>
                </c:pt>
                <c:pt idx="30">
                  <c:v>1.1387952212825353E-8</c:v>
                </c:pt>
                <c:pt idx="31">
                  <c:v>7.8266390275845116E-9</c:v>
                </c:pt>
                <c:pt idx="32">
                  <c:v>2.5819158473105836E-9</c:v>
                </c:pt>
                <c:pt idx="33">
                  <c:v>1.1363698460953829E-9</c:v>
                </c:pt>
                <c:pt idx="34">
                  <c:v>6.8704306938934039E-10</c:v>
                </c:pt>
                <c:pt idx="35">
                  <c:v>6.1423944197844017E-10</c:v>
                </c:pt>
                <c:pt idx="36">
                  <c:v>3.5460544783010154E-10</c:v>
                </c:pt>
                <c:pt idx="37">
                  <c:v>3.7060686919504644E-10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02-47B7-9A6E-77A99C4D0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9920"/>
        <c:axId val="43028480"/>
      </c:scatterChart>
      <c:valAx>
        <c:axId val="43009920"/>
        <c:scaling>
          <c:orientation val="minMax"/>
          <c:max val="1000"/>
          <c:min val="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Th0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39871226851851854"/>
              <c:y val="0.94203657407407404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3028480"/>
        <c:crosses val="autoZero"/>
        <c:crossBetween val="midCat"/>
      </c:valAx>
      <c:valAx>
        <c:axId val="43028480"/>
        <c:scaling>
          <c:orientation val="minMax"/>
          <c:max val="1.0000000000000004E-7"/>
          <c:min val="0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ja-JP" altLang="en-US" baseline="0"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latin typeface="+mn-ea"/>
                    <a:ea typeface="+mn-ea"/>
                  </a:rPr>
                  <a:t>IC2  [A]  </a:t>
                </a:r>
                <a:r>
                  <a:rPr lang="ja-JP" altLang="en-US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raw</a:t>
                </a:r>
                <a:endParaRPr lang="ja-JP" altLang="en-US">
                  <a:solidFill>
                    <a:srgbClr val="0000FF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3.8168981481481483E-3"/>
              <c:y val="0.18511111111111112"/>
            </c:manualLayout>
          </c:layout>
          <c:overlay val="0"/>
        </c:title>
        <c:numFmt formatCode="0.0E+0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3009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619907407407409"/>
          <c:y val="0.13901898148148148"/>
          <c:w val="0.15495972222222226"/>
          <c:h val="0.1054620370370370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IC解析!$BF$83</c:f>
          <c:strCache>
            <c:ptCount val="1"/>
            <c:pt idx="0">
              <c:v>IC2(norm_Ecal)</c:v>
            </c:pt>
          </c:strCache>
        </c:strRef>
      </c:tx>
      <c:layout>
        <c:manualLayout>
          <c:xMode val="edge"/>
          <c:yMode val="edge"/>
          <c:x val="0.20170185185185185"/>
          <c:y val="6.2350000000000001E-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52361111111112"/>
          <c:y val="3.877314814814814E-2"/>
          <c:w val="0.76208935185185178"/>
          <c:h val="0.78063000000000005"/>
        </c:manualLayout>
      </c:layout>
      <c:scatterChart>
        <c:scatterStyle val="smoothMarker"/>
        <c:varyColors val="0"/>
        <c:ser>
          <c:idx val="0"/>
          <c:order val="0"/>
          <c:tx>
            <c:v>IC2Edif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IC解析!$AV$15:$AV$71</c:f>
                <c:numCache>
                  <c:formatCode>General</c:formatCode>
                  <c:ptCount val="57"/>
                  <c:pt idx="0">
                    <c:v>0.11052295128063748</c:v>
                  </c:pt>
                  <c:pt idx="1">
                    <c:v>0.17536665371480795</c:v>
                  </c:pt>
                  <c:pt idx="2">
                    <c:v>0.12730672740402993</c:v>
                  </c:pt>
                  <c:pt idx="3">
                    <c:v>0.13248470088890632</c:v>
                  </c:pt>
                  <c:pt idx="4">
                    <c:v>0.12251561400710406</c:v>
                  </c:pt>
                  <c:pt idx="5">
                    <c:v>0.17381921336300579</c:v>
                  </c:pt>
                  <c:pt idx="6">
                    <c:v>0.15911853002088547</c:v>
                  </c:pt>
                  <c:pt idx="7">
                    <c:v>1.2897320162904762</c:v>
                  </c:pt>
                  <c:pt idx="8">
                    <c:v>0.2108685064013455</c:v>
                  </c:pt>
                  <c:pt idx="9">
                    <c:v>0.24684649458074526</c:v>
                  </c:pt>
                  <c:pt idx="10">
                    <c:v>0.24131141947622223</c:v>
                  </c:pt>
                  <c:pt idx="11">
                    <c:v>1.6524877449148625</c:v>
                  </c:pt>
                  <c:pt idx="12">
                    <c:v>0.24428726630661096</c:v>
                  </c:pt>
                  <c:pt idx="13">
                    <c:v>0.31395184060601117</c:v>
                  </c:pt>
                  <c:pt idx="14">
                    <c:v>0.16971254473706934</c:v>
                  </c:pt>
                  <c:pt idx="15">
                    <c:v>0.31186874782473906</c:v>
                  </c:pt>
                  <c:pt idx="16">
                    <c:v>2.2985440917922562</c:v>
                  </c:pt>
                  <c:pt idx="17">
                    <c:v>0.32496247387844945</c:v>
                  </c:pt>
                  <c:pt idx="18">
                    <c:v>0.44607943987527088</c:v>
                  </c:pt>
                  <c:pt idx="19">
                    <c:v>0.31871319553463312</c:v>
                  </c:pt>
                  <c:pt idx="20">
                    <c:v>2.8318158437979171</c:v>
                  </c:pt>
                  <c:pt idx="21">
                    <c:v>0.34668615574028722</c:v>
                  </c:pt>
                  <c:pt idx="22">
                    <c:v>0.39043110414700155</c:v>
                  </c:pt>
                  <c:pt idx="23">
                    <c:v>0.46214901275936993</c:v>
                  </c:pt>
                  <c:pt idx="24">
                    <c:v>0.38715767263357392</c:v>
                  </c:pt>
                  <c:pt idx="25">
                    <c:v>3.1663010275336099</c:v>
                  </c:pt>
                  <c:pt idx="26">
                    <c:v>0.48714612613463532</c:v>
                  </c:pt>
                  <c:pt idx="27">
                    <c:v>0.44905528670565958</c:v>
                  </c:pt>
                  <c:pt idx="28">
                    <c:v>1.3284180250855298</c:v>
                  </c:pt>
                  <c:pt idx="29">
                    <c:v>0.24080552551505613</c:v>
                  </c:pt>
                  <c:pt idx="30">
                    <c:v>1.0058362286713911</c:v>
                  </c:pt>
                  <c:pt idx="31">
                    <c:v>0.14045997039434813</c:v>
                  </c:pt>
                  <c:pt idx="32">
                    <c:v>0.17063505725448985</c:v>
                  </c:pt>
                  <c:pt idx="33">
                    <c:v>8.0050279737456875E-2</c:v>
                  </c:pt>
                  <c:pt idx="34">
                    <c:v>7.9693178117810223E-2</c:v>
                  </c:pt>
                  <c:pt idx="35">
                    <c:v>8.5942456461626557E-2</c:v>
                  </c:pt>
                  <c:pt idx="36">
                    <c:v>3.6097022052615314E-2</c:v>
                  </c:pt>
                  <c:pt idx="37">
                    <c:v>5.850514868544246E-2</c:v>
                  </c:pt>
                </c:numCache>
              </c:numRef>
            </c:plus>
            <c:minus>
              <c:numRef>
                <c:f>IC解析!$AV$15:$AV$71</c:f>
                <c:numCache>
                  <c:formatCode>General</c:formatCode>
                  <c:ptCount val="57"/>
                  <c:pt idx="0">
                    <c:v>0.11052295128063748</c:v>
                  </c:pt>
                  <c:pt idx="1">
                    <c:v>0.17536665371480795</c:v>
                  </c:pt>
                  <c:pt idx="2">
                    <c:v>0.12730672740402993</c:v>
                  </c:pt>
                  <c:pt idx="3">
                    <c:v>0.13248470088890632</c:v>
                  </c:pt>
                  <c:pt idx="4">
                    <c:v>0.12251561400710406</c:v>
                  </c:pt>
                  <c:pt idx="5">
                    <c:v>0.17381921336300579</c:v>
                  </c:pt>
                  <c:pt idx="6">
                    <c:v>0.15911853002088547</c:v>
                  </c:pt>
                  <c:pt idx="7">
                    <c:v>1.2897320162904762</c:v>
                  </c:pt>
                  <c:pt idx="8">
                    <c:v>0.2108685064013455</c:v>
                  </c:pt>
                  <c:pt idx="9">
                    <c:v>0.24684649458074526</c:v>
                  </c:pt>
                  <c:pt idx="10">
                    <c:v>0.24131141947622223</c:v>
                  </c:pt>
                  <c:pt idx="11">
                    <c:v>1.6524877449148625</c:v>
                  </c:pt>
                  <c:pt idx="12">
                    <c:v>0.24428726630661096</c:v>
                  </c:pt>
                  <c:pt idx="13">
                    <c:v>0.31395184060601117</c:v>
                  </c:pt>
                  <c:pt idx="14">
                    <c:v>0.16971254473706934</c:v>
                  </c:pt>
                  <c:pt idx="15">
                    <c:v>0.31186874782473906</c:v>
                  </c:pt>
                  <c:pt idx="16">
                    <c:v>2.2985440917922562</c:v>
                  </c:pt>
                  <c:pt idx="17">
                    <c:v>0.32496247387844945</c:v>
                  </c:pt>
                  <c:pt idx="18">
                    <c:v>0.44607943987527088</c:v>
                  </c:pt>
                  <c:pt idx="19">
                    <c:v>0.31871319553463312</c:v>
                  </c:pt>
                  <c:pt idx="20">
                    <c:v>2.8318158437979171</c:v>
                  </c:pt>
                  <c:pt idx="21">
                    <c:v>0.34668615574028722</c:v>
                  </c:pt>
                  <c:pt idx="22">
                    <c:v>0.39043110414700155</c:v>
                  </c:pt>
                  <c:pt idx="23">
                    <c:v>0.46214901275936993</c:v>
                  </c:pt>
                  <c:pt idx="24">
                    <c:v>0.38715767263357392</c:v>
                  </c:pt>
                  <c:pt idx="25">
                    <c:v>3.1663010275336099</c:v>
                  </c:pt>
                  <c:pt idx="26">
                    <c:v>0.48714612613463532</c:v>
                  </c:pt>
                  <c:pt idx="27">
                    <c:v>0.44905528670565958</c:v>
                  </c:pt>
                  <c:pt idx="28">
                    <c:v>1.3284180250855298</c:v>
                  </c:pt>
                  <c:pt idx="29">
                    <c:v>0.24080552551505613</c:v>
                  </c:pt>
                  <c:pt idx="30">
                    <c:v>1.0058362286713911</c:v>
                  </c:pt>
                  <c:pt idx="31">
                    <c:v>0.14045997039434813</c:v>
                  </c:pt>
                  <c:pt idx="32">
                    <c:v>0.17063505725448985</c:v>
                  </c:pt>
                  <c:pt idx="33">
                    <c:v>8.0050279737456875E-2</c:v>
                  </c:pt>
                  <c:pt idx="34">
                    <c:v>7.9693178117810223E-2</c:v>
                  </c:pt>
                  <c:pt idx="35">
                    <c:v>8.5942456461626557E-2</c:v>
                  </c:pt>
                  <c:pt idx="36">
                    <c:v>3.6097022052615314E-2</c:v>
                  </c:pt>
                  <c:pt idx="37">
                    <c:v>5.850514868544246E-2</c:v>
                  </c:pt>
                </c:numCache>
              </c:numRef>
            </c:minus>
            <c:spPr>
              <a:ln>
                <a:solidFill>
                  <a:srgbClr val="0000FF"/>
                </a:solidFill>
              </a:ln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IC解析!$AW$15:$AW$71</c:f>
              <c:numCache>
                <c:formatCode>0.00</c:formatCode>
                <c:ptCount val="57"/>
                <c:pt idx="0">
                  <c:v>-0.32454338526809057</c:v>
                </c:pt>
                <c:pt idx="1">
                  <c:v>-0.12296736136777886</c:v>
                </c:pt>
                <c:pt idx="2">
                  <c:v>3.1713577704370888E-2</c:v>
                </c:pt>
                <c:pt idx="3">
                  <c:v>-8.4461306948235837E-2</c:v>
                </c:pt>
                <c:pt idx="4">
                  <c:v>7.0749697329228756E-2</c:v>
                </c:pt>
                <c:pt idx="5">
                  <c:v>-0.12661802432183888</c:v>
                </c:pt>
                <c:pt idx="6">
                  <c:v>8.1539841408872604E-2</c:v>
                </c:pt>
                <c:pt idx="7">
                  <c:v>-0.49149246601569319</c:v>
                </c:pt>
                <c:pt idx="8">
                  <c:v>-3.6731554491347573E-2</c:v>
                </c:pt>
                <c:pt idx="9">
                  <c:v>0.39624756009938622</c:v>
                </c:pt>
                <c:pt idx="10">
                  <c:v>0.28357762207827975</c:v>
                </c:pt>
                <c:pt idx="11">
                  <c:v>-0.20691651410573186</c:v>
                </c:pt>
                <c:pt idx="12">
                  <c:v>0.18327753843481265</c:v>
                </c:pt>
                <c:pt idx="13">
                  <c:v>0.18729066492254987</c:v>
                </c:pt>
                <c:pt idx="14">
                  <c:v>0.22031756903409949</c:v>
                </c:pt>
                <c:pt idx="15">
                  <c:v>-0.16551455829691619</c:v>
                </c:pt>
                <c:pt idx="16">
                  <c:v>-1.0234735706280134</c:v>
                </c:pt>
                <c:pt idx="17">
                  <c:v>-0.297898545971087</c:v>
                </c:pt>
                <c:pt idx="18">
                  <c:v>-0.46818879125436297</c:v>
                </c:pt>
                <c:pt idx="19">
                  <c:v>-0.36713458894690554</c:v>
                </c:pt>
                <c:pt idx="20">
                  <c:v>-1.088365569872165</c:v>
                </c:pt>
                <c:pt idx="21">
                  <c:v>-0.18270535468653115</c:v>
                </c:pt>
                <c:pt idx="22">
                  <c:v>0.13305134263627671</c:v>
                </c:pt>
                <c:pt idx="23">
                  <c:v>0.10459361144201829</c:v>
                </c:pt>
                <c:pt idx="24">
                  <c:v>0.19811001730504785</c:v>
                </c:pt>
                <c:pt idx="25">
                  <c:v>-0.94214763213184405</c:v>
                </c:pt>
                <c:pt idx="26">
                  <c:v>0.27718643031889378</c:v>
                </c:pt>
                <c:pt idx="27">
                  <c:v>-0.51501726080201315</c:v>
                </c:pt>
                <c:pt idx="28">
                  <c:v>-0.87412357195199686</c:v>
                </c:pt>
                <c:pt idx="29">
                  <c:v>1.5538629611235368</c:v>
                </c:pt>
                <c:pt idx="30">
                  <c:v>0.78743588008588028</c:v>
                </c:pt>
                <c:pt idx="31">
                  <c:v>1.4726208357766439</c:v>
                </c:pt>
                <c:pt idx="32">
                  <c:v>-8.8128449451803717E-2</c:v>
                </c:pt>
                <c:pt idx="33">
                  <c:v>-0.51830079804153972</c:v>
                </c:pt>
                <c:pt idx="34">
                  <c:v>-0.65201356446848591</c:v>
                </c:pt>
                <c:pt idx="35">
                  <c:v>-0.67367880885563891</c:v>
                </c:pt>
                <c:pt idx="36">
                  <c:v>-0.75094190871038891</c:v>
                </c:pt>
                <c:pt idx="37">
                  <c:v>-0.7461801308053303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42-4332-809C-48D5A7C4A2BD}"/>
            </c:ext>
          </c:extLst>
        </c:ser>
        <c:ser>
          <c:idx val="1"/>
          <c:order val="1"/>
          <c:tx>
            <c:strRef>
              <c:f>IC解析!$BP$12</c:f>
              <c:strCache>
                <c:ptCount val="1"/>
                <c:pt idx="0">
                  <c:v>978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IC解析!$BV$15:$BV$71</c:f>
              <c:numCache>
                <c:formatCode>0.0</c:formatCode>
                <c:ptCount val="57"/>
                <c:pt idx="0">
                  <c:v>-1.9857774535061608</c:v>
                </c:pt>
                <c:pt idx="1">
                  <c:v>-1.8140838015003742</c:v>
                </c:pt>
                <c:pt idx="2">
                  <c:v>-1.6977213837582485</c:v>
                </c:pt>
                <c:pt idx="3">
                  <c:v>-1.830952293912002</c:v>
                </c:pt>
                <c:pt idx="4">
                  <c:v>-1.6987503403246791</c:v>
                </c:pt>
                <c:pt idx="5">
                  <c:v>-1.9303564479251301</c:v>
                </c:pt>
                <c:pt idx="6">
                  <c:v>-1.7732556318977668</c:v>
                </c:pt>
                <c:pt idx="7">
                  <c:v>-2.2984754491211885</c:v>
                </c:pt>
                <c:pt idx="8">
                  <c:v>-1.9471400769740019</c:v>
                </c:pt>
                <c:pt idx="9">
                  <c:v>-1.6188345895853393</c:v>
                </c:pt>
                <c:pt idx="10">
                  <c:v>-1.7651813059971615</c:v>
                </c:pt>
                <c:pt idx="11">
                  <c:v>-2.4459299734811557</c:v>
                </c:pt>
                <c:pt idx="12">
                  <c:v>-1.9619230744110654</c:v>
                </c:pt>
                <c:pt idx="13">
                  <c:v>-2.3703155740585382</c:v>
                </c:pt>
                <c:pt idx="14">
                  <c:v>-2.4857702884029331</c:v>
                </c:pt>
                <c:pt idx="15">
                  <c:v>-2.9772826317344929</c:v>
                </c:pt>
                <c:pt idx="16">
                  <c:v>-3.7848492136176795</c:v>
                </c:pt>
                <c:pt idx="17">
                  <c:v>-2.8531923071249432</c:v>
                </c:pt>
                <c:pt idx="18">
                  <c:v>-3.4213822587409215</c:v>
                </c:pt>
                <c:pt idx="19">
                  <c:v>-3.3956485214989041</c:v>
                </c:pt>
                <c:pt idx="20">
                  <c:v>-4.0101374573929025</c:v>
                </c:pt>
                <c:pt idx="21">
                  <c:v>-3.3654828981376816</c:v>
                </c:pt>
                <c:pt idx="22">
                  <c:v>-3.0835713196493808</c:v>
                </c:pt>
                <c:pt idx="23">
                  <c:v>-3.2543437514529145</c:v>
                </c:pt>
                <c:pt idx="24">
                  <c:v>-2.9601593595739271</c:v>
                </c:pt>
                <c:pt idx="25">
                  <c:v>-0.59063597462916917</c:v>
                </c:pt>
                <c:pt idx="26">
                  <c:v>1.39408032273084</c:v>
                </c:pt>
                <c:pt idx="27">
                  <c:v>6.0315534300578886</c:v>
                </c:pt>
                <c:pt idx="28">
                  <c:v>4.7154096840232755</c:v>
                </c:pt>
                <c:pt idx="29">
                  <c:v>3.3000450137294064</c:v>
                </c:pt>
                <c:pt idx="30">
                  <c:v>0.91120510745451133</c:v>
                </c:pt>
                <c:pt idx="31">
                  <c:v>8.5203576423723525E-3</c:v>
                </c:pt>
                <c:pt idx="32">
                  <c:v>-1.3208577075724475</c:v>
                </c:pt>
                <c:pt idx="33">
                  <c:v>-1.6872597235076554</c:v>
                </c:pt>
                <c:pt idx="34">
                  <c:v>-1.8011504171696786</c:v>
                </c:pt>
                <c:pt idx="35">
                  <c:v>-1.8196039259672714</c:v>
                </c:pt>
                <c:pt idx="36">
                  <c:v>-1.8854132594518438</c:v>
                </c:pt>
                <c:pt idx="37">
                  <c:v>-1.8813573850341387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42-4332-809C-48D5A7C4A2BD}"/>
            </c:ext>
          </c:extLst>
        </c:ser>
        <c:ser>
          <c:idx val="2"/>
          <c:order val="2"/>
          <c:tx>
            <c:strRef>
              <c:f>IC解析!$BQ$12</c:f>
              <c:strCache>
                <c:ptCount val="1"/>
                <c:pt idx="0">
                  <c:v>983</c:v>
                </c:pt>
              </c:strCache>
            </c:strRef>
          </c:tx>
          <c:spPr>
            <a:ln w="12700">
              <a:solidFill>
                <a:srgbClr val="CC00FF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IC解析!$BW$15:$BW$71</c:f>
              <c:numCache>
                <c:formatCode>0.0</c:formatCode>
                <c:ptCount val="57"/>
                <c:pt idx="0">
                  <c:v>-1.1641725192785823</c:v>
                </c:pt>
                <c:pt idx="1">
                  <c:v>-0.96884150209434683</c:v>
                </c:pt>
                <c:pt idx="2">
                  <c:v>-0.82216860950193338</c:v>
                </c:pt>
                <c:pt idx="3">
                  <c:v>-0.94190797003330617</c:v>
                </c:pt>
                <c:pt idx="4">
                  <c:v>-0.79150554241714355</c:v>
                </c:pt>
                <c:pt idx="5">
                  <c:v>-0.99602861809967669</c:v>
                </c:pt>
                <c:pt idx="6">
                  <c:v>-0.7985409769221623</c:v>
                </c:pt>
                <c:pt idx="7">
                  <c:v>-1.3615811283200108</c:v>
                </c:pt>
                <c:pt idx="8">
                  <c:v>-0.92843473890602457</c:v>
                </c:pt>
                <c:pt idx="9">
                  <c:v>-0.51733097969830322</c:v>
                </c:pt>
                <c:pt idx="10">
                  <c:v>-0.63703890345766112</c:v>
                </c:pt>
                <c:pt idx="11">
                  <c:v>-1.3418274644222361</c:v>
                </c:pt>
                <c:pt idx="12">
                  <c:v>-0.75749397918870542</c:v>
                </c:pt>
                <c:pt idx="13">
                  <c:v>-1.0985797069100238</c:v>
                </c:pt>
                <c:pt idx="14">
                  <c:v>-1.1297753424994843</c:v>
                </c:pt>
                <c:pt idx="15">
                  <c:v>-1.1582500990537623</c:v>
                </c:pt>
                <c:pt idx="16">
                  <c:v>-2.0025762906890368</c:v>
                </c:pt>
                <c:pt idx="17">
                  <c:v>-1.312887532251505</c:v>
                </c:pt>
                <c:pt idx="18">
                  <c:v>-1.697658648696601</c:v>
                </c:pt>
                <c:pt idx="19">
                  <c:v>-1.6088199768727538</c:v>
                </c:pt>
                <c:pt idx="20">
                  <c:v>-2.2493343809867223</c:v>
                </c:pt>
                <c:pt idx="21">
                  <c:v>-1.445999890843801</c:v>
                </c:pt>
                <c:pt idx="22">
                  <c:v>-1.1175102627039895</c:v>
                </c:pt>
                <c:pt idx="23">
                  <c:v>-1.1987205327817492</c:v>
                </c:pt>
                <c:pt idx="24">
                  <c:v>-1.1742989140750595</c:v>
                </c:pt>
                <c:pt idx="25">
                  <c:v>-1.9551702840450975</c:v>
                </c:pt>
                <c:pt idx="26">
                  <c:v>-0.70420524230335957</c:v>
                </c:pt>
                <c:pt idx="27">
                  <c:v>2.1321980261462148</c:v>
                </c:pt>
                <c:pt idx="28">
                  <c:v>4.1403729975295711</c:v>
                </c:pt>
                <c:pt idx="29">
                  <c:v>4.4188645326785432</c:v>
                </c:pt>
                <c:pt idx="30">
                  <c:v>1.7011488610051202</c:v>
                </c:pt>
                <c:pt idx="31">
                  <c:v>0.67418992386538412</c:v>
                </c:pt>
                <c:pt idx="32">
                  <c:v>-0.83820594323440945</c:v>
                </c:pt>
                <c:pt idx="33">
                  <c:v>-1.2550511651449234</c:v>
                </c:pt>
                <c:pt idx="34">
                  <c:v>-1.3846213896752479</c:v>
                </c:pt>
                <c:pt idx="35">
                  <c:v>-1.4056154252842672</c:v>
                </c:pt>
                <c:pt idx="36">
                  <c:v>-1.4804848447391279</c:v>
                </c:pt>
                <c:pt idx="37">
                  <c:v>-1.4758705910009924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42-4332-809C-48D5A7C4A2BD}"/>
            </c:ext>
          </c:extLst>
        </c:ser>
        <c:ser>
          <c:idx val="3"/>
          <c:order val="3"/>
          <c:tx>
            <c:strRef>
              <c:f>IC解析!$BR$12</c:f>
              <c:strCache>
                <c:ptCount val="1"/>
                <c:pt idx="0">
                  <c:v>988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IC解析!$BX$15:$BX$71</c:f>
              <c:numCache>
                <c:formatCode>0.0</c:formatCode>
                <c:ptCount val="57"/>
                <c:pt idx="0">
                  <c:v>-0.32454338526809057</c:v>
                </c:pt>
                <c:pt idx="1">
                  <c:v>-0.12296736136777886</c:v>
                </c:pt>
                <c:pt idx="2">
                  <c:v>3.1713577704370888E-2</c:v>
                </c:pt>
                <c:pt idx="3">
                  <c:v>-8.4461306948235837E-2</c:v>
                </c:pt>
                <c:pt idx="4">
                  <c:v>7.0749697329228756E-2</c:v>
                </c:pt>
                <c:pt idx="5">
                  <c:v>-0.12661802432183888</c:v>
                </c:pt>
                <c:pt idx="6">
                  <c:v>8.1539841408872604E-2</c:v>
                </c:pt>
                <c:pt idx="7">
                  <c:v>-0.49149246601569319</c:v>
                </c:pt>
                <c:pt idx="8">
                  <c:v>-3.6731554491347573E-2</c:v>
                </c:pt>
                <c:pt idx="9">
                  <c:v>0.39624756009938622</c:v>
                </c:pt>
                <c:pt idx="10">
                  <c:v>0.28357762207827975</c:v>
                </c:pt>
                <c:pt idx="11">
                  <c:v>-0.20691651410573186</c:v>
                </c:pt>
                <c:pt idx="12">
                  <c:v>0.18327753843481265</c:v>
                </c:pt>
                <c:pt idx="13">
                  <c:v>0.18729066492254987</c:v>
                </c:pt>
                <c:pt idx="14">
                  <c:v>0.22031756903409949</c:v>
                </c:pt>
                <c:pt idx="15">
                  <c:v>-0.16551455829691619</c:v>
                </c:pt>
                <c:pt idx="16">
                  <c:v>-1.0234735706280134</c:v>
                </c:pt>
                <c:pt idx="17">
                  <c:v>-0.297898545971087</c:v>
                </c:pt>
                <c:pt idx="18">
                  <c:v>-0.46818879125436297</c:v>
                </c:pt>
                <c:pt idx="19">
                  <c:v>-0.36713458894690554</c:v>
                </c:pt>
                <c:pt idx="20">
                  <c:v>-1.088365569872165</c:v>
                </c:pt>
                <c:pt idx="21">
                  <c:v>-0.18270535468653115</c:v>
                </c:pt>
                <c:pt idx="22">
                  <c:v>0.13305134263627671</c:v>
                </c:pt>
                <c:pt idx="23">
                  <c:v>0.10459361144201829</c:v>
                </c:pt>
                <c:pt idx="24">
                  <c:v>0.19811001730504785</c:v>
                </c:pt>
                <c:pt idx="25">
                  <c:v>-0.94214763213184405</c:v>
                </c:pt>
                <c:pt idx="26">
                  <c:v>0.27718643031889378</c:v>
                </c:pt>
                <c:pt idx="27">
                  <c:v>-0.51501726080201315</c:v>
                </c:pt>
                <c:pt idx="28">
                  <c:v>-0.87412357195199686</c:v>
                </c:pt>
                <c:pt idx="29">
                  <c:v>1.5538629611235368</c:v>
                </c:pt>
                <c:pt idx="30">
                  <c:v>0.78743588008588028</c:v>
                </c:pt>
                <c:pt idx="31">
                  <c:v>1.4726208357766439</c:v>
                </c:pt>
                <c:pt idx="32">
                  <c:v>-8.8128449451803717E-2</c:v>
                </c:pt>
                <c:pt idx="33">
                  <c:v>-0.51830079804153972</c:v>
                </c:pt>
                <c:pt idx="34">
                  <c:v>-0.65201356446848591</c:v>
                </c:pt>
                <c:pt idx="35">
                  <c:v>-0.67367880885563891</c:v>
                </c:pt>
                <c:pt idx="36">
                  <c:v>-0.75094190871038891</c:v>
                </c:pt>
                <c:pt idx="37">
                  <c:v>-0.7461801308053303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42-4332-809C-48D5A7C4A2BD}"/>
            </c:ext>
          </c:extLst>
        </c:ser>
        <c:ser>
          <c:idx val="4"/>
          <c:order val="4"/>
          <c:tx>
            <c:strRef>
              <c:f>IC解析!$BS$12</c:f>
              <c:strCache>
                <c:ptCount val="1"/>
                <c:pt idx="0">
                  <c:v>993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IC解析!$BY$15:$BY$71</c:f>
              <c:numCache>
                <c:formatCode>0.0</c:formatCode>
                <c:ptCount val="57"/>
                <c:pt idx="0">
                  <c:v>-0.29449538714044543</c:v>
                </c:pt>
                <c:pt idx="1">
                  <c:v>-0.10636834272606555</c:v>
                </c:pt>
                <c:pt idx="2">
                  <c:v>3.1066809796746142E-2</c:v>
                </c:pt>
                <c:pt idx="3">
                  <c:v>-9.2784377724781653E-2</c:v>
                </c:pt>
                <c:pt idx="4">
                  <c:v>5.2071081423771481E-2</c:v>
                </c:pt>
                <c:pt idx="5">
                  <c:v>-0.16070610477315572</c:v>
                </c:pt>
                <c:pt idx="6">
                  <c:v>2.447282151773944E-2</c:v>
                </c:pt>
                <c:pt idx="7">
                  <c:v>-0.52704080585839508</c:v>
                </c:pt>
                <c:pt idx="8">
                  <c:v>-0.11882800511674141</c:v>
                </c:pt>
                <c:pt idx="9">
                  <c:v>0.26704127930584232</c:v>
                </c:pt>
                <c:pt idx="10">
                  <c:v>0.13921463607663576</c:v>
                </c:pt>
                <c:pt idx="11">
                  <c:v>-0.33760149361961833</c:v>
                </c:pt>
                <c:pt idx="12">
                  <c:v>0.24024037485672789</c:v>
                </c:pt>
                <c:pt idx="13">
                  <c:v>-3.8772863642242861E-2</c:v>
                </c:pt>
                <c:pt idx="14">
                  <c:v>-4.4636168706636781E-2</c:v>
                </c:pt>
                <c:pt idx="15">
                  <c:v>-0.12600397823575271</c:v>
                </c:pt>
                <c:pt idx="16">
                  <c:v>-0.87587043773911422</c:v>
                </c:pt>
                <c:pt idx="17">
                  <c:v>-0.21273789305425161</c:v>
                </c:pt>
                <c:pt idx="18">
                  <c:v>-0.49379725299859878</c:v>
                </c:pt>
                <c:pt idx="19">
                  <c:v>-0.57374247588330896</c:v>
                </c:pt>
                <c:pt idx="20">
                  <c:v>-1.2770983673119876</c:v>
                </c:pt>
                <c:pt idx="21">
                  <c:v>-0.44750500591062625</c:v>
                </c:pt>
                <c:pt idx="22">
                  <c:v>-0.19900952878642286</c:v>
                </c:pt>
                <c:pt idx="23">
                  <c:v>-0.23899266604065517</c:v>
                </c:pt>
                <c:pt idx="24">
                  <c:v>-0.11736051011466131</c:v>
                </c:pt>
                <c:pt idx="25">
                  <c:v>-1.1269189741201675</c:v>
                </c:pt>
                <c:pt idx="26">
                  <c:v>-7.6319022001278825E-3</c:v>
                </c:pt>
                <c:pt idx="27">
                  <c:v>-1.1099558570835235</c:v>
                </c:pt>
                <c:pt idx="28">
                  <c:v>-4.4441257158820928</c:v>
                </c:pt>
                <c:pt idx="29">
                  <c:v>-5.0993928819619789</c:v>
                </c:pt>
                <c:pt idx="30">
                  <c:v>-4.5397956506805972</c:v>
                </c:pt>
                <c:pt idx="31">
                  <c:v>-1.6322526583234309</c:v>
                </c:pt>
                <c:pt idx="32">
                  <c:v>0.13477413268389266</c:v>
                </c:pt>
                <c:pt idx="33">
                  <c:v>-0.26669748563218831</c:v>
                </c:pt>
                <c:pt idx="34">
                  <c:v>-0.39148905092673891</c:v>
                </c:pt>
                <c:pt idx="35">
                  <c:v>-0.41170880878388361</c:v>
                </c:pt>
                <c:pt idx="36">
                  <c:v>-0.48381698086071517</c:v>
                </c:pt>
                <c:pt idx="37">
                  <c:v>-0.47937290469479477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42-4332-809C-48D5A7C4A2BD}"/>
            </c:ext>
          </c:extLst>
        </c:ser>
        <c:ser>
          <c:idx val="5"/>
          <c:order val="5"/>
          <c:tx>
            <c:strRef>
              <c:f>IC解析!$BT$12</c:f>
              <c:strCache>
                <c:ptCount val="1"/>
                <c:pt idx="0">
                  <c:v>998</c:v>
                </c:pt>
              </c:strCache>
            </c:strRef>
          </c:tx>
          <c:spPr>
            <a:ln w="12700">
              <a:solidFill>
                <a:srgbClr val="009900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IC解析!$BZ$15:$BZ$71</c:f>
              <c:numCache>
                <c:formatCode>0.0</c:formatCode>
                <c:ptCount val="57"/>
                <c:pt idx="0">
                  <c:v>-0.99518239137608866</c:v>
                </c:pt>
                <c:pt idx="1">
                  <c:v>-0.83216302533435815</c:v>
                </c:pt>
                <c:pt idx="2">
                  <c:v>-0.72692374778035518</c:v>
                </c:pt>
                <c:pt idx="3">
                  <c:v>-0.86510569873917609</c:v>
                </c:pt>
                <c:pt idx="4">
                  <c:v>-0.73958283629486576</c:v>
                </c:pt>
                <c:pt idx="5">
                  <c:v>-0.98112769814628376</c:v>
                </c:pt>
                <c:pt idx="6">
                  <c:v>-0.83884777555897561</c:v>
                </c:pt>
                <c:pt idx="7">
                  <c:v>-1.350188533444967</c:v>
                </c:pt>
                <c:pt idx="8">
                  <c:v>-1.0288756343367629</c:v>
                </c:pt>
                <c:pt idx="9">
                  <c:v>-0.73095491621798736</c:v>
                </c:pt>
                <c:pt idx="10">
                  <c:v>-0.88707736285440131</c:v>
                </c:pt>
                <c:pt idx="11">
                  <c:v>-1.3383582474390936</c:v>
                </c:pt>
                <c:pt idx="12">
                  <c:v>-0.86708357198926489</c:v>
                </c:pt>
                <c:pt idx="13">
                  <c:v>-1.2175902603325808</c:v>
                </c:pt>
                <c:pt idx="14">
                  <c:v>-1.3129538050968153</c:v>
                </c:pt>
                <c:pt idx="15">
                  <c:v>-1.3801170457894836</c:v>
                </c:pt>
                <c:pt idx="16">
                  <c:v>-2.1373027060305896</c:v>
                </c:pt>
                <c:pt idx="17">
                  <c:v>-1.6184487620255821</c:v>
                </c:pt>
                <c:pt idx="18">
                  <c:v>-1.9197543034977356</c:v>
                </c:pt>
                <c:pt idx="19">
                  <c:v>-1.8713536123307737</c:v>
                </c:pt>
                <c:pt idx="20">
                  <c:v>-2.5545701632857707</c:v>
                </c:pt>
                <c:pt idx="21">
                  <c:v>-1.9346914006016345</c:v>
                </c:pt>
                <c:pt idx="22">
                  <c:v>-1.6676912231794887</c:v>
                </c:pt>
                <c:pt idx="23">
                  <c:v>-1.7693918551793058</c:v>
                </c:pt>
                <c:pt idx="24">
                  <c:v>-1.6740991533801424</c:v>
                </c:pt>
                <c:pt idx="25">
                  <c:v>-2.5515674865726634</c:v>
                </c:pt>
                <c:pt idx="26">
                  <c:v>-1.5654627802306234</c:v>
                </c:pt>
                <c:pt idx="27">
                  <c:v>-2.5155089082408271</c:v>
                </c:pt>
                <c:pt idx="28">
                  <c:v>-5.7461663667442275</c:v>
                </c:pt>
                <c:pt idx="29">
                  <c:v>-7.155939910494979</c:v>
                </c:pt>
                <c:pt idx="30">
                  <c:v>-9.2195758912197014</c:v>
                </c:pt>
                <c:pt idx="31">
                  <c:v>-8.9079002549547397</c:v>
                </c:pt>
                <c:pt idx="32">
                  <c:v>-3.7297161296984758</c:v>
                </c:pt>
                <c:pt idx="33">
                  <c:v>-0.55376652141491123</c:v>
                </c:pt>
                <c:pt idx="34">
                  <c:v>-0.66190324319778882</c:v>
                </c:pt>
                <c:pt idx="35">
                  <c:v>-0.67942444605115737</c:v>
                </c:pt>
                <c:pt idx="36">
                  <c:v>-0.74190896833228537</c:v>
                </c:pt>
                <c:pt idx="37">
                  <c:v>-0.73805800431238755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42-4332-809C-48D5A7C4A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0720"/>
        <c:axId val="43206144"/>
      </c:scatterChart>
      <c:valAx>
        <c:axId val="43150720"/>
        <c:scaling>
          <c:orientation val="minMax"/>
          <c:max val="950"/>
          <c:min val="80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18433217592592593"/>
              <c:y val="0.68528666666666671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3206144"/>
        <c:crossesAt val="-5"/>
        <c:crossBetween val="midCat"/>
      </c:valAx>
      <c:valAx>
        <c:axId val="43206144"/>
        <c:scaling>
          <c:orientation val="minMax"/>
          <c:max val="5"/>
          <c:min val="-5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en-US" altLang="ja-JP" baseline="0">
                    <a:latin typeface="+mn-ea"/>
                    <a:ea typeface="+mn-ea"/>
                  </a:rPr>
                  <a:t>Residual Err</a:t>
                </a:r>
                <a:r>
                  <a:rPr lang="ja-JP" altLang="en-US" baseline="0"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latin typeface="+mn-ea"/>
                    <a:ea typeface="+mn-ea"/>
                  </a:rPr>
                  <a:t>[MeV] </a:t>
                </a:r>
                <a:endParaRPr lang="ja-JP" altLang="en-US">
                  <a:solidFill>
                    <a:srgbClr val="0000FF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3.0115740740740738E-2"/>
              <c:y val="0.12660555555555558"/>
            </c:manualLayout>
          </c:layout>
          <c:overlay val="0"/>
        </c:title>
        <c:numFmt formatCode="0_ 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315072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9458912037037041"/>
          <c:y val="0.13954277777777777"/>
          <c:w val="0.33805416666666666"/>
          <c:h val="0.22712916666666666"/>
        </c:manualLayout>
      </c:layout>
      <c:overlay val="1"/>
      <c:spPr>
        <a:noFill/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IC解析!$BF$83</c:f>
          <c:strCache>
            <c:ptCount val="1"/>
            <c:pt idx="0">
              <c:v>IC2(norm_Ecal)</c:v>
            </c:pt>
          </c:strCache>
        </c:strRef>
      </c:tx>
      <c:layout>
        <c:manualLayout>
          <c:xMode val="edge"/>
          <c:yMode val="edge"/>
          <c:x val="0.20170185185185185"/>
          <c:y val="6.2350000000000001E-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52361111111112"/>
          <c:y val="3.877314814814814E-2"/>
          <c:w val="0.76208935185185178"/>
          <c:h val="0.78063000000000005"/>
        </c:manualLayout>
      </c:layout>
      <c:scatterChart>
        <c:scatterStyle val="smoothMarker"/>
        <c:varyColors val="0"/>
        <c:ser>
          <c:idx val="0"/>
          <c:order val="0"/>
          <c:tx>
            <c:v>IC2Edif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IC解析!$AV$15:$AV$71</c:f>
                <c:numCache>
                  <c:formatCode>General</c:formatCode>
                  <c:ptCount val="57"/>
                  <c:pt idx="0">
                    <c:v>0.11052295128063748</c:v>
                  </c:pt>
                  <c:pt idx="1">
                    <c:v>0.17536665371480795</c:v>
                  </c:pt>
                  <c:pt idx="2">
                    <c:v>0.12730672740402993</c:v>
                  </c:pt>
                  <c:pt idx="3">
                    <c:v>0.13248470088890632</c:v>
                  </c:pt>
                  <c:pt idx="4">
                    <c:v>0.12251561400710406</c:v>
                  </c:pt>
                  <c:pt idx="5">
                    <c:v>0.17381921336300579</c:v>
                  </c:pt>
                  <c:pt idx="6">
                    <c:v>0.15911853002088547</c:v>
                  </c:pt>
                  <c:pt idx="7">
                    <c:v>1.2897320162904762</c:v>
                  </c:pt>
                  <c:pt idx="8">
                    <c:v>0.2108685064013455</c:v>
                  </c:pt>
                  <c:pt idx="9">
                    <c:v>0.24684649458074526</c:v>
                  </c:pt>
                  <c:pt idx="10">
                    <c:v>0.24131141947622223</c:v>
                  </c:pt>
                  <c:pt idx="11">
                    <c:v>1.6524877449148625</c:v>
                  </c:pt>
                  <c:pt idx="12">
                    <c:v>0.24428726630661096</c:v>
                  </c:pt>
                  <c:pt idx="13">
                    <c:v>0.31395184060601117</c:v>
                  </c:pt>
                  <c:pt idx="14">
                    <c:v>0.16971254473706934</c:v>
                  </c:pt>
                  <c:pt idx="15">
                    <c:v>0.31186874782473906</c:v>
                  </c:pt>
                  <c:pt idx="16">
                    <c:v>2.2985440917922562</c:v>
                  </c:pt>
                  <c:pt idx="17">
                    <c:v>0.32496247387844945</c:v>
                  </c:pt>
                  <c:pt idx="18">
                    <c:v>0.44607943987527088</c:v>
                  </c:pt>
                  <c:pt idx="19">
                    <c:v>0.31871319553463312</c:v>
                  </c:pt>
                  <c:pt idx="20">
                    <c:v>2.8318158437979171</c:v>
                  </c:pt>
                  <c:pt idx="21">
                    <c:v>0.34668615574028722</c:v>
                  </c:pt>
                  <c:pt idx="22">
                    <c:v>0.39043110414700155</c:v>
                  </c:pt>
                  <c:pt idx="23">
                    <c:v>0.46214901275936993</c:v>
                  </c:pt>
                  <c:pt idx="24">
                    <c:v>0.38715767263357392</c:v>
                  </c:pt>
                  <c:pt idx="25">
                    <c:v>3.1663010275336099</c:v>
                  </c:pt>
                  <c:pt idx="26">
                    <c:v>0.48714612613463532</c:v>
                  </c:pt>
                  <c:pt idx="27">
                    <c:v>0.44905528670565958</c:v>
                  </c:pt>
                  <c:pt idx="28">
                    <c:v>1.3284180250855298</c:v>
                  </c:pt>
                  <c:pt idx="29">
                    <c:v>0.24080552551505613</c:v>
                  </c:pt>
                  <c:pt idx="30">
                    <c:v>1.0058362286713911</c:v>
                  </c:pt>
                  <c:pt idx="31">
                    <c:v>0.14045997039434813</c:v>
                  </c:pt>
                  <c:pt idx="32">
                    <c:v>0.17063505725448985</c:v>
                  </c:pt>
                  <c:pt idx="33">
                    <c:v>8.0050279737456875E-2</c:v>
                  </c:pt>
                  <c:pt idx="34">
                    <c:v>7.9693178117810223E-2</c:v>
                  </c:pt>
                  <c:pt idx="35">
                    <c:v>8.5942456461626557E-2</c:v>
                  </c:pt>
                  <c:pt idx="36">
                    <c:v>3.6097022052615314E-2</c:v>
                  </c:pt>
                  <c:pt idx="37">
                    <c:v>5.850514868544246E-2</c:v>
                  </c:pt>
                </c:numCache>
              </c:numRef>
            </c:plus>
            <c:minus>
              <c:numRef>
                <c:f>IC解析!$AV$15:$AV$71</c:f>
                <c:numCache>
                  <c:formatCode>General</c:formatCode>
                  <c:ptCount val="57"/>
                  <c:pt idx="0">
                    <c:v>0.11052295128063748</c:v>
                  </c:pt>
                  <c:pt idx="1">
                    <c:v>0.17536665371480795</c:v>
                  </c:pt>
                  <c:pt idx="2">
                    <c:v>0.12730672740402993</c:v>
                  </c:pt>
                  <c:pt idx="3">
                    <c:v>0.13248470088890632</c:v>
                  </c:pt>
                  <c:pt idx="4">
                    <c:v>0.12251561400710406</c:v>
                  </c:pt>
                  <c:pt idx="5">
                    <c:v>0.17381921336300579</c:v>
                  </c:pt>
                  <c:pt idx="6">
                    <c:v>0.15911853002088547</c:v>
                  </c:pt>
                  <c:pt idx="7">
                    <c:v>1.2897320162904762</c:v>
                  </c:pt>
                  <c:pt idx="8">
                    <c:v>0.2108685064013455</c:v>
                  </c:pt>
                  <c:pt idx="9">
                    <c:v>0.24684649458074526</c:v>
                  </c:pt>
                  <c:pt idx="10">
                    <c:v>0.24131141947622223</c:v>
                  </c:pt>
                  <c:pt idx="11">
                    <c:v>1.6524877449148625</c:v>
                  </c:pt>
                  <c:pt idx="12">
                    <c:v>0.24428726630661096</c:v>
                  </c:pt>
                  <c:pt idx="13">
                    <c:v>0.31395184060601117</c:v>
                  </c:pt>
                  <c:pt idx="14">
                    <c:v>0.16971254473706934</c:v>
                  </c:pt>
                  <c:pt idx="15">
                    <c:v>0.31186874782473906</c:v>
                  </c:pt>
                  <c:pt idx="16">
                    <c:v>2.2985440917922562</c:v>
                  </c:pt>
                  <c:pt idx="17">
                    <c:v>0.32496247387844945</c:v>
                  </c:pt>
                  <c:pt idx="18">
                    <c:v>0.44607943987527088</c:v>
                  </c:pt>
                  <c:pt idx="19">
                    <c:v>0.31871319553463312</c:v>
                  </c:pt>
                  <c:pt idx="20">
                    <c:v>2.8318158437979171</c:v>
                  </c:pt>
                  <c:pt idx="21">
                    <c:v>0.34668615574028722</c:v>
                  </c:pt>
                  <c:pt idx="22">
                    <c:v>0.39043110414700155</c:v>
                  </c:pt>
                  <c:pt idx="23">
                    <c:v>0.46214901275936993</c:v>
                  </c:pt>
                  <c:pt idx="24">
                    <c:v>0.38715767263357392</c:v>
                  </c:pt>
                  <c:pt idx="25">
                    <c:v>3.1663010275336099</c:v>
                  </c:pt>
                  <c:pt idx="26">
                    <c:v>0.48714612613463532</c:v>
                  </c:pt>
                  <c:pt idx="27">
                    <c:v>0.44905528670565958</c:v>
                  </c:pt>
                  <c:pt idx="28">
                    <c:v>1.3284180250855298</c:v>
                  </c:pt>
                  <c:pt idx="29">
                    <c:v>0.24080552551505613</c:v>
                  </c:pt>
                  <c:pt idx="30">
                    <c:v>1.0058362286713911</c:v>
                  </c:pt>
                  <c:pt idx="31">
                    <c:v>0.14045997039434813</c:v>
                  </c:pt>
                  <c:pt idx="32">
                    <c:v>0.17063505725448985</c:v>
                  </c:pt>
                  <c:pt idx="33">
                    <c:v>8.0050279737456875E-2</c:v>
                  </c:pt>
                  <c:pt idx="34">
                    <c:v>7.9693178117810223E-2</c:v>
                  </c:pt>
                  <c:pt idx="35">
                    <c:v>8.5942456461626557E-2</c:v>
                  </c:pt>
                  <c:pt idx="36">
                    <c:v>3.6097022052615314E-2</c:v>
                  </c:pt>
                  <c:pt idx="37">
                    <c:v>5.850514868544246E-2</c:v>
                  </c:pt>
                </c:numCache>
              </c:numRef>
            </c:minus>
            <c:spPr>
              <a:ln>
                <a:solidFill>
                  <a:srgbClr val="0000FF"/>
                </a:solidFill>
              </a:ln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IC解析!$AW$15:$AW$71</c:f>
              <c:numCache>
                <c:formatCode>0.00</c:formatCode>
                <c:ptCount val="57"/>
                <c:pt idx="0">
                  <c:v>-0.32454338526809057</c:v>
                </c:pt>
                <c:pt idx="1">
                  <c:v>-0.12296736136777886</c:v>
                </c:pt>
                <c:pt idx="2">
                  <c:v>3.1713577704370888E-2</c:v>
                </c:pt>
                <c:pt idx="3">
                  <c:v>-8.4461306948235837E-2</c:v>
                </c:pt>
                <c:pt idx="4">
                  <c:v>7.0749697329228756E-2</c:v>
                </c:pt>
                <c:pt idx="5">
                  <c:v>-0.12661802432183888</c:v>
                </c:pt>
                <c:pt idx="6">
                  <c:v>8.1539841408872604E-2</c:v>
                </c:pt>
                <c:pt idx="7">
                  <c:v>-0.49149246601569319</c:v>
                </c:pt>
                <c:pt idx="8">
                  <c:v>-3.6731554491347573E-2</c:v>
                </c:pt>
                <c:pt idx="9">
                  <c:v>0.39624756009938622</c:v>
                </c:pt>
                <c:pt idx="10">
                  <c:v>0.28357762207827975</c:v>
                </c:pt>
                <c:pt idx="11">
                  <c:v>-0.20691651410573186</c:v>
                </c:pt>
                <c:pt idx="12">
                  <c:v>0.18327753843481265</c:v>
                </c:pt>
                <c:pt idx="13">
                  <c:v>0.18729066492254987</c:v>
                </c:pt>
                <c:pt idx="14">
                  <c:v>0.22031756903409949</c:v>
                </c:pt>
                <c:pt idx="15">
                  <c:v>-0.16551455829691619</c:v>
                </c:pt>
                <c:pt idx="16">
                  <c:v>-1.0234735706280134</c:v>
                </c:pt>
                <c:pt idx="17">
                  <c:v>-0.297898545971087</c:v>
                </c:pt>
                <c:pt idx="18">
                  <c:v>-0.46818879125436297</c:v>
                </c:pt>
                <c:pt idx="19">
                  <c:v>-0.36713458894690554</c:v>
                </c:pt>
                <c:pt idx="20">
                  <c:v>-1.088365569872165</c:v>
                </c:pt>
                <c:pt idx="21">
                  <c:v>-0.18270535468653115</c:v>
                </c:pt>
                <c:pt idx="22">
                  <c:v>0.13305134263627671</c:v>
                </c:pt>
                <c:pt idx="23">
                  <c:v>0.10459361144201829</c:v>
                </c:pt>
                <c:pt idx="24">
                  <c:v>0.19811001730504785</c:v>
                </c:pt>
                <c:pt idx="25">
                  <c:v>-0.94214763213184405</c:v>
                </c:pt>
                <c:pt idx="26">
                  <c:v>0.27718643031889378</c:v>
                </c:pt>
                <c:pt idx="27">
                  <c:v>-0.51501726080201315</c:v>
                </c:pt>
                <c:pt idx="28">
                  <c:v>-0.87412357195199686</c:v>
                </c:pt>
                <c:pt idx="29">
                  <c:v>1.5538629611235368</c:v>
                </c:pt>
                <c:pt idx="30">
                  <c:v>0.78743588008588028</c:v>
                </c:pt>
                <c:pt idx="31">
                  <c:v>1.4726208357766439</c:v>
                </c:pt>
                <c:pt idx="32">
                  <c:v>-8.8128449451803717E-2</c:v>
                </c:pt>
                <c:pt idx="33">
                  <c:v>-0.51830079804153972</c:v>
                </c:pt>
                <c:pt idx="34">
                  <c:v>-0.65201356446848591</c:v>
                </c:pt>
                <c:pt idx="35">
                  <c:v>-0.67367880885563891</c:v>
                </c:pt>
                <c:pt idx="36">
                  <c:v>-0.75094190871038891</c:v>
                </c:pt>
                <c:pt idx="37">
                  <c:v>-0.7461801308053303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A7-4F83-9C33-44D6361C8126}"/>
            </c:ext>
          </c:extLst>
        </c:ser>
        <c:ser>
          <c:idx val="1"/>
          <c:order val="1"/>
          <c:tx>
            <c:strRef>
              <c:f>IC解析!$BP$12</c:f>
              <c:strCache>
                <c:ptCount val="1"/>
                <c:pt idx="0">
                  <c:v>978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IC解析!$BV$15:$BV$71</c:f>
              <c:numCache>
                <c:formatCode>0.0</c:formatCode>
                <c:ptCount val="57"/>
                <c:pt idx="0">
                  <c:v>-1.9857774535061608</c:v>
                </c:pt>
                <c:pt idx="1">
                  <c:v>-1.8140838015003742</c:v>
                </c:pt>
                <c:pt idx="2">
                  <c:v>-1.6977213837582485</c:v>
                </c:pt>
                <c:pt idx="3">
                  <c:v>-1.830952293912002</c:v>
                </c:pt>
                <c:pt idx="4">
                  <c:v>-1.6987503403246791</c:v>
                </c:pt>
                <c:pt idx="5">
                  <c:v>-1.9303564479251301</c:v>
                </c:pt>
                <c:pt idx="6">
                  <c:v>-1.7732556318977668</c:v>
                </c:pt>
                <c:pt idx="7">
                  <c:v>-2.2984754491211885</c:v>
                </c:pt>
                <c:pt idx="8">
                  <c:v>-1.9471400769740019</c:v>
                </c:pt>
                <c:pt idx="9">
                  <c:v>-1.6188345895853393</c:v>
                </c:pt>
                <c:pt idx="10">
                  <c:v>-1.7651813059971615</c:v>
                </c:pt>
                <c:pt idx="11">
                  <c:v>-2.4459299734811557</c:v>
                </c:pt>
                <c:pt idx="12">
                  <c:v>-1.9619230744110654</c:v>
                </c:pt>
                <c:pt idx="13">
                  <c:v>-2.3703155740585382</c:v>
                </c:pt>
                <c:pt idx="14">
                  <c:v>-2.4857702884029331</c:v>
                </c:pt>
                <c:pt idx="15">
                  <c:v>-2.9772826317344929</c:v>
                </c:pt>
                <c:pt idx="16">
                  <c:v>-3.7848492136176795</c:v>
                </c:pt>
                <c:pt idx="17">
                  <c:v>-2.8531923071249432</c:v>
                </c:pt>
                <c:pt idx="18">
                  <c:v>-3.4213822587409215</c:v>
                </c:pt>
                <c:pt idx="19">
                  <c:v>-3.3956485214989041</c:v>
                </c:pt>
                <c:pt idx="20">
                  <c:v>-4.0101374573929025</c:v>
                </c:pt>
                <c:pt idx="21">
                  <c:v>-3.3654828981376816</c:v>
                </c:pt>
                <c:pt idx="22">
                  <c:v>-3.0835713196493808</c:v>
                </c:pt>
                <c:pt idx="23">
                  <c:v>-3.2543437514529145</c:v>
                </c:pt>
                <c:pt idx="24">
                  <c:v>-2.9601593595739271</c:v>
                </c:pt>
                <c:pt idx="25">
                  <c:v>-0.59063597462916917</c:v>
                </c:pt>
                <c:pt idx="26">
                  <c:v>1.39408032273084</c:v>
                </c:pt>
                <c:pt idx="27">
                  <c:v>6.0315534300578886</c:v>
                </c:pt>
                <c:pt idx="28">
                  <c:v>4.7154096840232755</c:v>
                </c:pt>
                <c:pt idx="29">
                  <c:v>3.3000450137294064</c:v>
                </c:pt>
                <c:pt idx="30">
                  <c:v>0.91120510745451133</c:v>
                </c:pt>
                <c:pt idx="31">
                  <c:v>8.5203576423723525E-3</c:v>
                </c:pt>
                <c:pt idx="32">
                  <c:v>-1.3208577075724475</c:v>
                </c:pt>
                <c:pt idx="33">
                  <c:v>-1.6872597235076554</c:v>
                </c:pt>
                <c:pt idx="34">
                  <c:v>-1.8011504171696786</c:v>
                </c:pt>
                <c:pt idx="35">
                  <c:v>-1.8196039259672714</c:v>
                </c:pt>
                <c:pt idx="36">
                  <c:v>-1.8854132594518438</c:v>
                </c:pt>
                <c:pt idx="37">
                  <c:v>-1.8813573850341387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A7-4F83-9C33-44D6361C8126}"/>
            </c:ext>
          </c:extLst>
        </c:ser>
        <c:ser>
          <c:idx val="2"/>
          <c:order val="2"/>
          <c:tx>
            <c:strRef>
              <c:f>IC解析!$BQ$12</c:f>
              <c:strCache>
                <c:ptCount val="1"/>
                <c:pt idx="0">
                  <c:v>983</c:v>
                </c:pt>
              </c:strCache>
            </c:strRef>
          </c:tx>
          <c:spPr>
            <a:ln w="12700">
              <a:solidFill>
                <a:srgbClr val="CC00FF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IC解析!$BW$15:$BW$71</c:f>
              <c:numCache>
                <c:formatCode>0.0</c:formatCode>
                <c:ptCount val="57"/>
                <c:pt idx="0">
                  <c:v>-1.1641725192785823</c:v>
                </c:pt>
                <c:pt idx="1">
                  <c:v>-0.96884150209434683</c:v>
                </c:pt>
                <c:pt idx="2">
                  <c:v>-0.82216860950193338</c:v>
                </c:pt>
                <c:pt idx="3">
                  <c:v>-0.94190797003330617</c:v>
                </c:pt>
                <c:pt idx="4">
                  <c:v>-0.79150554241714355</c:v>
                </c:pt>
                <c:pt idx="5">
                  <c:v>-0.99602861809967669</c:v>
                </c:pt>
                <c:pt idx="6">
                  <c:v>-0.7985409769221623</c:v>
                </c:pt>
                <c:pt idx="7">
                  <c:v>-1.3615811283200108</c:v>
                </c:pt>
                <c:pt idx="8">
                  <c:v>-0.92843473890602457</c:v>
                </c:pt>
                <c:pt idx="9">
                  <c:v>-0.51733097969830322</c:v>
                </c:pt>
                <c:pt idx="10">
                  <c:v>-0.63703890345766112</c:v>
                </c:pt>
                <c:pt idx="11">
                  <c:v>-1.3418274644222361</c:v>
                </c:pt>
                <c:pt idx="12">
                  <c:v>-0.75749397918870542</c:v>
                </c:pt>
                <c:pt idx="13">
                  <c:v>-1.0985797069100238</c:v>
                </c:pt>
                <c:pt idx="14">
                  <c:v>-1.1297753424994843</c:v>
                </c:pt>
                <c:pt idx="15">
                  <c:v>-1.1582500990537623</c:v>
                </c:pt>
                <c:pt idx="16">
                  <c:v>-2.0025762906890368</c:v>
                </c:pt>
                <c:pt idx="17">
                  <c:v>-1.312887532251505</c:v>
                </c:pt>
                <c:pt idx="18">
                  <c:v>-1.697658648696601</c:v>
                </c:pt>
                <c:pt idx="19">
                  <c:v>-1.6088199768727538</c:v>
                </c:pt>
                <c:pt idx="20">
                  <c:v>-2.2493343809867223</c:v>
                </c:pt>
                <c:pt idx="21">
                  <c:v>-1.445999890843801</c:v>
                </c:pt>
                <c:pt idx="22">
                  <c:v>-1.1175102627039895</c:v>
                </c:pt>
                <c:pt idx="23">
                  <c:v>-1.1987205327817492</c:v>
                </c:pt>
                <c:pt idx="24">
                  <c:v>-1.1742989140750595</c:v>
                </c:pt>
                <c:pt idx="25">
                  <c:v>-1.9551702840450975</c:v>
                </c:pt>
                <c:pt idx="26">
                  <c:v>-0.70420524230335957</c:v>
                </c:pt>
                <c:pt idx="27">
                  <c:v>2.1321980261462148</c:v>
                </c:pt>
                <c:pt idx="28">
                  <c:v>4.1403729975295711</c:v>
                </c:pt>
                <c:pt idx="29">
                  <c:v>4.4188645326785432</c:v>
                </c:pt>
                <c:pt idx="30">
                  <c:v>1.7011488610051202</c:v>
                </c:pt>
                <c:pt idx="31">
                  <c:v>0.67418992386538412</c:v>
                </c:pt>
                <c:pt idx="32">
                  <c:v>-0.83820594323440945</c:v>
                </c:pt>
                <c:pt idx="33">
                  <c:v>-1.2550511651449234</c:v>
                </c:pt>
                <c:pt idx="34">
                  <c:v>-1.3846213896752479</c:v>
                </c:pt>
                <c:pt idx="35">
                  <c:v>-1.4056154252842672</c:v>
                </c:pt>
                <c:pt idx="36">
                  <c:v>-1.4804848447391279</c:v>
                </c:pt>
                <c:pt idx="37">
                  <c:v>-1.4758705910009924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A7-4F83-9C33-44D6361C8126}"/>
            </c:ext>
          </c:extLst>
        </c:ser>
        <c:ser>
          <c:idx val="3"/>
          <c:order val="3"/>
          <c:tx>
            <c:strRef>
              <c:f>IC解析!$BR$12</c:f>
              <c:strCache>
                <c:ptCount val="1"/>
                <c:pt idx="0">
                  <c:v>988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IC解析!$BX$15:$BX$71</c:f>
              <c:numCache>
                <c:formatCode>0.0</c:formatCode>
                <c:ptCount val="57"/>
                <c:pt idx="0">
                  <c:v>-0.32454338526809057</c:v>
                </c:pt>
                <c:pt idx="1">
                  <c:v>-0.12296736136777886</c:v>
                </c:pt>
                <c:pt idx="2">
                  <c:v>3.1713577704370888E-2</c:v>
                </c:pt>
                <c:pt idx="3">
                  <c:v>-8.4461306948235837E-2</c:v>
                </c:pt>
                <c:pt idx="4">
                  <c:v>7.0749697329228756E-2</c:v>
                </c:pt>
                <c:pt idx="5">
                  <c:v>-0.12661802432183888</c:v>
                </c:pt>
                <c:pt idx="6">
                  <c:v>8.1539841408872604E-2</c:v>
                </c:pt>
                <c:pt idx="7">
                  <c:v>-0.49149246601569319</c:v>
                </c:pt>
                <c:pt idx="8">
                  <c:v>-3.6731554491347573E-2</c:v>
                </c:pt>
                <c:pt idx="9">
                  <c:v>0.39624756009938622</c:v>
                </c:pt>
                <c:pt idx="10">
                  <c:v>0.28357762207827975</c:v>
                </c:pt>
                <c:pt idx="11">
                  <c:v>-0.20691651410573186</c:v>
                </c:pt>
                <c:pt idx="12">
                  <c:v>0.18327753843481265</c:v>
                </c:pt>
                <c:pt idx="13">
                  <c:v>0.18729066492254987</c:v>
                </c:pt>
                <c:pt idx="14">
                  <c:v>0.22031756903409949</c:v>
                </c:pt>
                <c:pt idx="15">
                  <c:v>-0.16551455829691619</c:v>
                </c:pt>
                <c:pt idx="16">
                  <c:v>-1.0234735706280134</c:v>
                </c:pt>
                <c:pt idx="17">
                  <c:v>-0.297898545971087</c:v>
                </c:pt>
                <c:pt idx="18">
                  <c:v>-0.46818879125436297</c:v>
                </c:pt>
                <c:pt idx="19">
                  <c:v>-0.36713458894690554</c:v>
                </c:pt>
                <c:pt idx="20">
                  <c:v>-1.088365569872165</c:v>
                </c:pt>
                <c:pt idx="21">
                  <c:v>-0.18270535468653115</c:v>
                </c:pt>
                <c:pt idx="22">
                  <c:v>0.13305134263627671</c:v>
                </c:pt>
                <c:pt idx="23">
                  <c:v>0.10459361144201829</c:v>
                </c:pt>
                <c:pt idx="24">
                  <c:v>0.19811001730504785</c:v>
                </c:pt>
                <c:pt idx="25">
                  <c:v>-0.94214763213184405</c:v>
                </c:pt>
                <c:pt idx="26">
                  <c:v>0.27718643031889378</c:v>
                </c:pt>
                <c:pt idx="27">
                  <c:v>-0.51501726080201315</c:v>
                </c:pt>
                <c:pt idx="28">
                  <c:v>-0.87412357195199686</c:v>
                </c:pt>
                <c:pt idx="29">
                  <c:v>1.5538629611235368</c:v>
                </c:pt>
                <c:pt idx="30">
                  <c:v>0.78743588008588028</c:v>
                </c:pt>
                <c:pt idx="31">
                  <c:v>1.4726208357766439</c:v>
                </c:pt>
                <c:pt idx="32">
                  <c:v>-8.8128449451803717E-2</c:v>
                </c:pt>
                <c:pt idx="33">
                  <c:v>-0.51830079804153972</c:v>
                </c:pt>
                <c:pt idx="34">
                  <c:v>-0.65201356446848591</c:v>
                </c:pt>
                <c:pt idx="35">
                  <c:v>-0.67367880885563891</c:v>
                </c:pt>
                <c:pt idx="36">
                  <c:v>-0.75094190871038891</c:v>
                </c:pt>
                <c:pt idx="37">
                  <c:v>-0.7461801308053303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A7-4F83-9C33-44D6361C8126}"/>
            </c:ext>
          </c:extLst>
        </c:ser>
        <c:ser>
          <c:idx val="4"/>
          <c:order val="4"/>
          <c:tx>
            <c:strRef>
              <c:f>IC解析!$BS$12</c:f>
              <c:strCache>
                <c:ptCount val="1"/>
                <c:pt idx="0">
                  <c:v>993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IC解析!$BY$15:$BY$71</c:f>
              <c:numCache>
                <c:formatCode>0.0</c:formatCode>
                <c:ptCount val="57"/>
                <c:pt idx="0">
                  <c:v>-0.29449538714044543</c:v>
                </c:pt>
                <c:pt idx="1">
                  <c:v>-0.10636834272606555</c:v>
                </c:pt>
                <c:pt idx="2">
                  <c:v>3.1066809796746142E-2</c:v>
                </c:pt>
                <c:pt idx="3">
                  <c:v>-9.2784377724781653E-2</c:v>
                </c:pt>
                <c:pt idx="4">
                  <c:v>5.2071081423771481E-2</c:v>
                </c:pt>
                <c:pt idx="5">
                  <c:v>-0.16070610477315572</c:v>
                </c:pt>
                <c:pt idx="6">
                  <c:v>2.447282151773944E-2</c:v>
                </c:pt>
                <c:pt idx="7">
                  <c:v>-0.52704080585839508</c:v>
                </c:pt>
                <c:pt idx="8">
                  <c:v>-0.11882800511674141</c:v>
                </c:pt>
                <c:pt idx="9">
                  <c:v>0.26704127930584232</c:v>
                </c:pt>
                <c:pt idx="10">
                  <c:v>0.13921463607663576</c:v>
                </c:pt>
                <c:pt idx="11">
                  <c:v>-0.33760149361961833</c:v>
                </c:pt>
                <c:pt idx="12">
                  <c:v>0.24024037485672789</c:v>
                </c:pt>
                <c:pt idx="13">
                  <c:v>-3.8772863642242861E-2</c:v>
                </c:pt>
                <c:pt idx="14">
                  <c:v>-4.4636168706636781E-2</c:v>
                </c:pt>
                <c:pt idx="15">
                  <c:v>-0.12600397823575271</c:v>
                </c:pt>
                <c:pt idx="16">
                  <c:v>-0.87587043773911422</c:v>
                </c:pt>
                <c:pt idx="17">
                  <c:v>-0.21273789305425161</c:v>
                </c:pt>
                <c:pt idx="18">
                  <c:v>-0.49379725299859878</c:v>
                </c:pt>
                <c:pt idx="19">
                  <c:v>-0.57374247588330896</c:v>
                </c:pt>
                <c:pt idx="20">
                  <c:v>-1.2770983673119876</c:v>
                </c:pt>
                <c:pt idx="21">
                  <c:v>-0.44750500591062625</c:v>
                </c:pt>
                <c:pt idx="22">
                  <c:v>-0.19900952878642286</c:v>
                </c:pt>
                <c:pt idx="23">
                  <c:v>-0.23899266604065517</c:v>
                </c:pt>
                <c:pt idx="24">
                  <c:v>-0.11736051011466131</c:v>
                </c:pt>
                <c:pt idx="25">
                  <c:v>-1.1269189741201675</c:v>
                </c:pt>
                <c:pt idx="26">
                  <c:v>-7.6319022001278825E-3</c:v>
                </c:pt>
                <c:pt idx="27">
                  <c:v>-1.1099558570835235</c:v>
                </c:pt>
                <c:pt idx="28">
                  <c:v>-4.4441257158820928</c:v>
                </c:pt>
                <c:pt idx="29">
                  <c:v>-5.0993928819619789</c:v>
                </c:pt>
                <c:pt idx="30">
                  <c:v>-4.5397956506805972</c:v>
                </c:pt>
                <c:pt idx="31">
                  <c:v>-1.6322526583234309</c:v>
                </c:pt>
                <c:pt idx="32">
                  <c:v>0.13477413268389266</c:v>
                </c:pt>
                <c:pt idx="33">
                  <c:v>-0.26669748563218831</c:v>
                </c:pt>
                <c:pt idx="34">
                  <c:v>-0.39148905092673891</c:v>
                </c:pt>
                <c:pt idx="35">
                  <c:v>-0.41170880878388361</c:v>
                </c:pt>
                <c:pt idx="36">
                  <c:v>-0.48381698086071517</c:v>
                </c:pt>
                <c:pt idx="37">
                  <c:v>-0.47937290469479477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A7-4F83-9C33-44D6361C8126}"/>
            </c:ext>
          </c:extLst>
        </c:ser>
        <c:ser>
          <c:idx val="5"/>
          <c:order val="5"/>
          <c:tx>
            <c:strRef>
              <c:f>IC解析!$BT$12</c:f>
              <c:strCache>
                <c:ptCount val="1"/>
                <c:pt idx="0">
                  <c:v>998</c:v>
                </c:pt>
              </c:strCache>
            </c:strRef>
          </c:tx>
          <c:spPr>
            <a:ln w="12700">
              <a:solidFill>
                <a:srgbClr val="009900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IC解析!$BZ$15:$BZ$71</c:f>
              <c:numCache>
                <c:formatCode>0.0</c:formatCode>
                <c:ptCount val="57"/>
                <c:pt idx="0">
                  <c:v>-0.99518239137608866</c:v>
                </c:pt>
                <c:pt idx="1">
                  <c:v>-0.83216302533435815</c:v>
                </c:pt>
                <c:pt idx="2">
                  <c:v>-0.72692374778035518</c:v>
                </c:pt>
                <c:pt idx="3">
                  <c:v>-0.86510569873917609</c:v>
                </c:pt>
                <c:pt idx="4">
                  <c:v>-0.73958283629486576</c:v>
                </c:pt>
                <c:pt idx="5">
                  <c:v>-0.98112769814628376</c:v>
                </c:pt>
                <c:pt idx="6">
                  <c:v>-0.83884777555897561</c:v>
                </c:pt>
                <c:pt idx="7">
                  <c:v>-1.350188533444967</c:v>
                </c:pt>
                <c:pt idx="8">
                  <c:v>-1.0288756343367629</c:v>
                </c:pt>
                <c:pt idx="9">
                  <c:v>-0.73095491621798736</c:v>
                </c:pt>
                <c:pt idx="10">
                  <c:v>-0.88707736285440131</c:v>
                </c:pt>
                <c:pt idx="11">
                  <c:v>-1.3383582474390936</c:v>
                </c:pt>
                <c:pt idx="12">
                  <c:v>-0.86708357198926489</c:v>
                </c:pt>
                <c:pt idx="13">
                  <c:v>-1.2175902603325808</c:v>
                </c:pt>
                <c:pt idx="14">
                  <c:v>-1.3129538050968153</c:v>
                </c:pt>
                <c:pt idx="15">
                  <c:v>-1.3801170457894836</c:v>
                </c:pt>
                <c:pt idx="16">
                  <c:v>-2.1373027060305896</c:v>
                </c:pt>
                <c:pt idx="17">
                  <c:v>-1.6184487620255821</c:v>
                </c:pt>
                <c:pt idx="18">
                  <c:v>-1.9197543034977356</c:v>
                </c:pt>
                <c:pt idx="19">
                  <c:v>-1.8713536123307737</c:v>
                </c:pt>
                <c:pt idx="20">
                  <c:v>-2.5545701632857707</c:v>
                </c:pt>
                <c:pt idx="21">
                  <c:v>-1.9346914006016345</c:v>
                </c:pt>
                <c:pt idx="22">
                  <c:v>-1.6676912231794887</c:v>
                </c:pt>
                <c:pt idx="23">
                  <c:v>-1.7693918551793058</c:v>
                </c:pt>
                <c:pt idx="24">
                  <c:v>-1.6740991533801424</c:v>
                </c:pt>
                <c:pt idx="25">
                  <c:v>-2.5515674865726634</c:v>
                </c:pt>
                <c:pt idx="26">
                  <c:v>-1.5654627802306234</c:v>
                </c:pt>
                <c:pt idx="27">
                  <c:v>-2.5155089082408271</c:v>
                </c:pt>
                <c:pt idx="28">
                  <c:v>-5.7461663667442275</c:v>
                </c:pt>
                <c:pt idx="29">
                  <c:v>-7.155939910494979</c:v>
                </c:pt>
                <c:pt idx="30">
                  <c:v>-9.2195758912197014</c:v>
                </c:pt>
                <c:pt idx="31">
                  <c:v>-8.9079002549547397</c:v>
                </c:pt>
                <c:pt idx="32">
                  <c:v>-3.7297161296984758</c:v>
                </c:pt>
                <c:pt idx="33">
                  <c:v>-0.55376652141491123</c:v>
                </c:pt>
                <c:pt idx="34">
                  <c:v>-0.66190324319778882</c:v>
                </c:pt>
                <c:pt idx="35">
                  <c:v>-0.67942444605115737</c:v>
                </c:pt>
                <c:pt idx="36">
                  <c:v>-0.74190896833228537</c:v>
                </c:pt>
                <c:pt idx="37">
                  <c:v>-0.73805800431238755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A7-4F83-9C33-44D6361C8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48736"/>
        <c:axId val="43350656"/>
      </c:scatterChart>
      <c:valAx>
        <c:axId val="43348736"/>
        <c:scaling>
          <c:orientation val="minMax"/>
          <c:max val="1000"/>
          <c:min val="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21079050925925927"/>
              <c:y val="0.67823111111111112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3350656"/>
        <c:crossesAt val="-5"/>
        <c:crossBetween val="midCat"/>
      </c:valAx>
      <c:valAx>
        <c:axId val="43350656"/>
        <c:scaling>
          <c:orientation val="minMax"/>
          <c:max val="5"/>
          <c:min val="-5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en-US" altLang="ja-JP" baseline="0">
                    <a:latin typeface="+mn-ea"/>
                    <a:ea typeface="+mn-ea"/>
                  </a:rPr>
                  <a:t>Residual Err</a:t>
                </a:r>
                <a:r>
                  <a:rPr lang="ja-JP" altLang="en-US" baseline="0"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latin typeface="+mn-ea"/>
                    <a:ea typeface="+mn-ea"/>
                  </a:rPr>
                  <a:t>[MeV]</a:t>
                </a:r>
                <a:endParaRPr lang="ja-JP" altLang="en-US">
                  <a:solidFill>
                    <a:srgbClr val="0000FF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2.7175925925925926E-2"/>
              <c:y val="0.11249444444444444"/>
            </c:manualLayout>
          </c:layout>
          <c:overlay val="0"/>
        </c:title>
        <c:numFmt formatCode="0_ 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3348736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9458912037037041"/>
          <c:y val="0.13954277777777777"/>
          <c:w val="0.33805416666666666"/>
          <c:h val="0.22712916666666666"/>
        </c:manualLayout>
      </c:layout>
      <c:overlay val="1"/>
      <c:spPr>
        <a:noFill/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IC解析!$BF$81</c:f>
          <c:strCache>
            <c:ptCount val="1"/>
            <c:pt idx="0">
              <c:v>IC2(norm_Ecal)</c:v>
            </c:pt>
          </c:strCache>
        </c:strRef>
      </c:tx>
      <c:layout>
        <c:manualLayout>
          <c:xMode val="edge"/>
          <c:yMode val="edge"/>
          <c:x val="0.21430115740740741"/>
          <c:y val="1.1395833333333332E-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60300925925925"/>
          <c:y val="4.7592592592592596E-2"/>
          <c:w val="0.75200995370370372"/>
          <c:h val="0.80822191358024686"/>
        </c:manualLayout>
      </c:layout>
      <c:scatterChart>
        <c:scatterStyle val="smoothMarker"/>
        <c:varyColors val="0"/>
        <c:ser>
          <c:idx val="0"/>
          <c:order val="0"/>
          <c:tx>
            <c:v>IC2norm</c:v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IC解析!$AV$15:$AV$71</c:f>
                <c:numCache>
                  <c:formatCode>General</c:formatCode>
                  <c:ptCount val="57"/>
                  <c:pt idx="0">
                    <c:v>0.11052295128063748</c:v>
                  </c:pt>
                  <c:pt idx="1">
                    <c:v>0.17536665371480795</c:v>
                  </c:pt>
                  <c:pt idx="2">
                    <c:v>0.12730672740402993</c:v>
                  </c:pt>
                  <c:pt idx="3">
                    <c:v>0.13248470088890632</c:v>
                  </c:pt>
                  <c:pt idx="4">
                    <c:v>0.12251561400710406</c:v>
                  </c:pt>
                  <c:pt idx="5">
                    <c:v>0.17381921336300579</c:v>
                  </c:pt>
                  <c:pt idx="6">
                    <c:v>0.15911853002088547</c:v>
                  </c:pt>
                  <c:pt idx="7">
                    <c:v>1.2897320162904762</c:v>
                  </c:pt>
                  <c:pt idx="8">
                    <c:v>0.2108685064013455</c:v>
                  </c:pt>
                  <c:pt idx="9">
                    <c:v>0.24684649458074526</c:v>
                  </c:pt>
                  <c:pt idx="10">
                    <c:v>0.24131141947622223</c:v>
                  </c:pt>
                  <c:pt idx="11">
                    <c:v>1.6524877449148625</c:v>
                  </c:pt>
                  <c:pt idx="12">
                    <c:v>0.24428726630661096</c:v>
                  </c:pt>
                  <c:pt idx="13">
                    <c:v>0.31395184060601117</c:v>
                  </c:pt>
                  <c:pt idx="14">
                    <c:v>0.16971254473706934</c:v>
                  </c:pt>
                  <c:pt idx="15">
                    <c:v>0.31186874782473906</c:v>
                  </c:pt>
                  <c:pt idx="16">
                    <c:v>2.2985440917922562</c:v>
                  </c:pt>
                  <c:pt idx="17">
                    <c:v>0.32496247387844945</c:v>
                  </c:pt>
                  <c:pt idx="18">
                    <c:v>0.44607943987527088</c:v>
                  </c:pt>
                  <c:pt idx="19">
                    <c:v>0.31871319553463312</c:v>
                  </c:pt>
                  <c:pt idx="20">
                    <c:v>2.8318158437979171</c:v>
                  </c:pt>
                  <c:pt idx="21">
                    <c:v>0.34668615574028722</c:v>
                  </c:pt>
                  <c:pt idx="22">
                    <c:v>0.39043110414700155</c:v>
                  </c:pt>
                  <c:pt idx="23">
                    <c:v>0.46214901275936993</c:v>
                  </c:pt>
                  <c:pt idx="24">
                    <c:v>0.38715767263357392</c:v>
                  </c:pt>
                  <c:pt idx="25">
                    <c:v>3.1663010275336099</c:v>
                  </c:pt>
                  <c:pt idx="26">
                    <c:v>0.48714612613463532</c:v>
                  </c:pt>
                  <c:pt idx="27">
                    <c:v>0.44905528670565958</c:v>
                  </c:pt>
                  <c:pt idx="28">
                    <c:v>1.3284180250855298</c:v>
                  </c:pt>
                  <c:pt idx="29">
                    <c:v>0.24080552551505613</c:v>
                  </c:pt>
                  <c:pt idx="30">
                    <c:v>1.0058362286713911</c:v>
                  </c:pt>
                  <c:pt idx="31">
                    <c:v>0.14045997039434813</c:v>
                  </c:pt>
                  <c:pt idx="32">
                    <c:v>0.17063505725448985</c:v>
                  </c:pt>
                  <c:pt idx="33">
                    <c:v>8.0050279737456875E-2</c:v>
                  </c:pt>
                  <c:pt idx="34">
                    <c:v>7.9693178117810223E-2</c:v>
                  </c:pt>
                  <c:pt idx="35">
                    <c:v>8.5942456461626557E-2</c:v>
                  </c:pt>
                  <c:pt idx="36">
                    <c:v>3.6097022052615314E-2</c:v>
                  </c:pt>
                  <c:pt idx="37">
                    <c:v>5.850514868544246E-2</c:v>
                  </c:pt>
                </c:numCache>
              </c:numRef>
            </c:plus>
            <c:minus>
              <c:numRef>
                <c:f>IC解析!$AV$15:$AV$71</c:f>
                <c:numCache>
                  <c:formatCode>General</c:formatCode>
                  <c:ptCount val="57"/>
                  <c:pt idx="0">
                    <c:v>0.11052295128063748</c:v>
                  </c:pt>
                  <c:pt idx="1">
                    <c:v>0.17536665371480795</c:v>
                  </c:pt>
                  <c:pt idx="2">
                    <c:v>0.12730672740402993</c:v>
                  </c:pt>
                  <c:pt idx="3">
                    <c:v>0.13248470088890632</c:v>
                  </c:pt>
                  <c:pt idx="4">
                    <c:v>0.12251561400710406</c:v>
                  </c:pt>
                  <c:pt idx="5">
                    <c:v>0.17381921336300579</c:v>
                  </c:pt>
                  <c:pt idx="6">
                    <c:v>0.15911853002088547</c:v>
                  </c:pt>
                  <c:pt idx="7">
                    <c:v>1.2897320162904762</c:v>
                  </c:pt>
                  <c:pt idx="8">
                    <c:v>0.2108685064013455</c:v>
                  </c:pt>
                  <c:pt idx="9">
                    <c:v>0.24684649458074526</c:v>
                  </c:pt>
                  <c:pt idx="10">
                    <c:v>0.24131141947622223</c:v>
                  </c:pt>
                  <c:pt idx="11">
                    <c:v>1.6524877449148625</c:v>
                  </c:pt>
                  <c:pt idx="12">
                    <c:v>0.24428726630661096</c:v>
                  </c:pt>
                  <c:pt idx="13">
                    <c:v>0.31395184060601117</c:v>
                  </c:pt>
                  <c:pt idx="14">
                    <c:v>0.16971254473706934</c:v>
                  </c:pt>
                  <c:pt idx="15">
                    <c:v>0.31186874782473906</c:v>
                  </c:pt>
                  <c:pt idx="16">
                    <c:v>2.2985440917922562</c:v>
                  </c:pt>
                  <c:pt idx="17">
                    <c:v>0.32496247387844945</c:v>
                  </c:pt>
                  <c:pt idx="18">
                    <c:v>0.44607943987527088</c:v>
                  </c:pt>
                  <c:pt idx="19">
                    <c:v>0.31871319553463312</c:v>
                  </c:pt>
                  <c:pt idx="20">
                    <c:v>2.8318158437979171</c:v>
                  </c:pt>
                  <c:pt idx="21">
                    <c:v>0.34668615574028722</c:v>
                  </c:pt>
                  <c:pt idx="22">
                    <c:v>0.39043110414700155</c:v>
                  </c:pt>
                  <c:pt idx="23">
                    <c:v>0.46214901275936993</c:v>
                  </c:pt>
                  <c:pt idx="24">
                    <c:v>0.38715767263357392</c:v>
                  </c:pt>
                  <c:pt idx="25">
                    <c:v>3.1663010275336099</c:v>
                  </c:pt>
                  <c:pt idx="26">
                    <c:v>0.48714612613463532</c:v>
                  </c:pt>
                  <c:pt idx="27">
                    <c:v>0.44905528670565958</c:v>
                  </c:pt>
                  <c:pt idx="28">
                    <c:v>1.3284180250855298</c:v>
                  </c:pt>
                  <c:pt idx="29">
                    <c:v>0.24080552551505613</c:v>
                  </c:pt>
                  <c:pt idx="30">
                    <c:v>1.0058362286713911</c:v>
                  </c:pt>
                  <c:pt idx="31">
                    <c:v>0.14045997039434813</c:v>
                  </c:pt>
                  <c:pt idx="32">
                    <c:v>0.17063505725448985</c:v>
                  </c:pt>
                  <c:pt idx="33">
                    <c:v>8.0050279737456875E-2</c:v>
                  </c:pt>
                  <c:pt idx="34">
                    <c:v>7.9693178117810223E-2</c:v>
                  </c:pt>
                  <c:pt idx="35">
                    <c:v>8.5942456461626557E-2</c:v>
                  </c:pt>
                  <c:pt idx="36">
                    <c:v>3.6097022052615314E-2</c:v>
                  </c:pt>
                  <c:pt idx="37">
                    <c:v>5.850514868544246E-2</c:v>
                  </c:pt>
                </c:numCache>
              </c:numRef>
            </c:minus>
            <c:spPr>
              <a:ln w="19050">
                <a:solidFill>
                  <a:srgbClr val="0000FF"/>
                </a:solidFill>
              </a:ln>
              <a:effectLst/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IC解析!$AU$15:$AU$71</c:f>
              <c:numCache>
                <c:formatCode>0.00_ </c:formatCode>
                <c:ptCount val="57"/>
                <c:pt idx="0">
                  <c:v>2.8024150505925531</c:v>
                </c:pt>
                <c:pt idx="1">
                  <c:v>3.0039910744928648</c:v>
                </c:pt>
                <c:pt idx="2">
                  <c:v>3.2624744103776115</c:v>
                </c:pt>
                <c:pt idx="3">
                  <c:v>3.3775283898969866</c:v>
                </c:pt>
                <c:pt idx="4">
                  <c:v>3.532739394175048</c:v>
                </c:pt>
                <c:pt idx="5">
                  <c:v>3.7636995645698801</c:v>
                </c:pt>
                <c:pt idx="6">
                  <c:v>4.1081125551948539</c:v>
                </c:pt>
                <c:pt idx="7">
                  <c:v>3.785586227581454</c:v>
                </c:pt>
                <c:pt idx="8">
                  <c:v>4.4832587239609074</c:v>
                </c:pt>
                <c:pt idx="9">
                  <c:v>5.1893503840550785</c:v>
                </c:pt>
                <c:pt idx="10">
                  <c:v>5.4165221463834961</c:v>
                </c:pt>
                <c:pt idx="11">
                  <c:v>5.2115134194708723</c:v>
                </c:pt>
                <c:pt idx="12">
                  <c:v>6.0670840034840454</c:v>
                </c:pt>
                <c:pt idx="13">
                  <c:v>6.6410663980573332</c:v>
                </c:pt>
                <c:pt idx="14">
                  <c:v>7.3596156079489017</c:v>
                </c:pt>
                <c:pt idx="15">
                  <c:v>7.7443762219303274</c:v>
                </c:pt>
                <c:pt idx="16">
                  <c:v>7.3043366966988401</c:v>
                </c:pt>
                <c:pt idx="17">
                  <c:v>8.462671857253838</c:v>
                </c:pt>
                <c:pt idx="18">
                  <c:v>8.6252175419243429</c:v>
                </c:pt>
                <c:pt idx="19">
                  <c:v>9.3556047803293065</c:v>
                </c:pt>
                <c:pt idx="20">
                  <c:v>9.0311937891359744</c:v>
                </c:pt>
                <c:pt idx="21">
                  <c:v>10.285911154195785</c:v>
                </c:pt>
                <c:pt idx="22">
                  <c:v>10.740471965792286</c:v>
                </c:pt>
                <c:pt idx="23">
                  <c:v>10.87522822385135</c:v>
                </c:pt>
                <c:pt idx="24">
                  <c:v>11.182326619195562</c:v>
                </c:pt>
                <c:pt idx="25">
                  <c:v>10.329446729691862</c:v>
                </c:pt>
                <c:pt idx="26">
                  <c:v>11.548780792142638</c:v>
                </c:pt>
                <c:pt idx="27">
                  <c:v>10.655544575330586</c:v>
                </c:pt>
                <c:pt idx="28">
                  <c:v>6.998719350581978</c:v>
                </c:pt>
                <c:pt idx="29">
                  <c:v>5.3370179465184266</c:v>
                </c:pt>
                <c:pt idx="30">
                  <c:v>2.5324130912086993</c:v>
                </c:pt>
                <c:pt idx="31">
                  <c:v>1.4726208357766439</c:v>
                </c:pt>
                <c:pt idx="32">
                  <c:v>-8.8128449451803717E-2</c:v>
                </c:pt>
                <c:pt idx="33">
                  <c:v>-0.51830079804153972</c:v>
                </c:pt>
                <c:pt idx="34">
                  <c:v>-0.65201356446848591</c:v>
                </c:pt>
                <c:pt idx="35">
                  <c:v>-0.67367880885563891</c:v>
                </c:pt>
                <c:pt idx="36">
                  <c:v>-0.75094190871038891</c:v>
                </c:pt>
                <c:pt idx="37">
                  <c:v>-0.7461801308053303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94-45A5-A6F5-01E7708C5884}"/>
            </c:ext>
          </c:extLst>
        </c:ser>
        <c:ser>
          <c:idx val="1"/>
          <c:order val="1"/>
          <c:tx>
            <c:strRef>
              <c:f>IC計算!$I$11</c:f>
              <c:strCache>
                <c:ptCount val="1"/>
                <c:pt idx="0">
                  <c:v>978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IC計算!$J$15:$J$104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5.4184299335766042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5.8838064650489343</c:v>
                </c:pt>
                <c:pt idx="20">
                  <c:v>5.8838064650492328</c:v>
                </c:pt>
                <c:pt idx="21">
                  <c:v>6.1566028270362665</c:v>
                </c:pt>
                <c:pt idx="22">
                  <c:v>6.4537757331346342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7.508575639944489</c:v>
                </c:pt>
                <c:pt idx="27">
                  <c:v>7.9098907802272436</c:v>
                </c:pt>
                <c:pt idx="28">
                  <c:v>7.9098907802272436</c:v>
                </c:pt>
                <c:pt idx="29">
                  <c:v>8.3278102673268535</c:v>
                </c:pt>
                <c:pt idx="30">
                  <c:v>8.7605704032250742</c:v>
                </c:pt>
                <c:pt idx="31">
                  <c:v>9.3028513926760468</c:v>
                </c:pt>
                <c:pt idx="32">
                  <c:v>9.7227393692762121</c:v>
                </c:pt>
                <c:pt idx="33">
                  <c:v>10.173510331132782</c:v>
                </c:pt>
                <c:pt idx="34">
                  <c:v>10.605657714626256</c:v>
                </c:pt>
                <c:pt idx="35">
                  <c:v>11.05741398078932</c:v>
                </c:pt>
                <c:pt idx="37">
                  <c:v>11.078367029906744</c:v>
                </c:pt>
                <c:pt idx="38">
                  <c:v>11.131487072468836</c:v>
                </c:pt>
                <c:pt idx="39">
                  <c:v>11.261200237630561</c:v>
                </c:pt>
                <c:pt idx="40">
                  <c:v>11.271594361823745</c:v>
                </c:pt>
                <c:pt idx="41">
                  <c:v>11.286586950993106</c:v>
                </c:pt>
                <c:pt idx="42">
                  <c:v>11.337510118325634</c:v>
                </c:pt>
                <c:pt idx="43">
                  <c:v>11.308890505214187</c:v>
                </c:pt>
                <c:pt idx="44">
                  <c:v>11.237053930107097</c:v>
                </c:pt>
                <c:pt idx="45">
                  <c:v>11.144264962779069</c:v>
                </c:pt>
                <c:pt idx="46">
                  <c:v>10.816496086432547</c:v>
                </c:pt>
                <c:pt idx="47">
                  <c:v>10.394833698877877</c:v>
                </c:pt>
                <c:pt idx="48">
                  <c:v>9.7189741327521517</c:v>
                </c:pt>
                <c:pt idx="49">
                  <c:v>8.6389052900458765</c:v>
                </c:pt>
                <c:pt idx="50">
                  <c:v>7.2159226274913468</c:v>
                </c:pt>
                <c:pt idx="51">
                  <c:v>5.5515330676397516</c:v>
                </c:pt>
                <c:pt idx="52">
                  <c:v>4.0125911581759155</c:v>
                </c:pt>
                <c:pt idx="53">
                  <c:v>2.8843663702541082</c:v>
                </c:pt>
                <c:pt idx="54">
                  <c:v>2.1626121918560055</c:v>
                </c:pt>
                <c:pt idx="55">
                  <c:v>1.7582778939837518</c:v>
                </c:pt>
                <c:pt idx="56">
                  <c:v>1.0479469508973536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94-45A5-A6F5-01E7708C5884}"/>
            </c:ext>
          </c:extLst>
        </c:ser>
        <c:ser>
          <c:idx val="2"/>
          <c:order val="2"/>
          <c:tx>
            <c:strRef>
              <c:f>IC計算!$L$11</c:f>
              <c:strCache>
                <c:ptCount val="1"/>
                <c:pt idx="0">
                  <c:v>983</c:v>
                </c:pt>
              </c:strCache>
            </c:strRef>
          </c:tx>
          <c:spPr>
            <a:ln w="12700">
              <a:solidFill>
                <a:srgbClr val="CC00FF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IC計算!$M$15:$M$104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6.1566028270362665</c:v>
                </c:pt>
                <c:pt idx="22">
                  <c:v>6.1566028270359681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7.1302472608816529</c:v>
                </c:pt>
                <c:pt idx="27">
                  <c:v>7.508575639944489</c:v>
                </c:pt>
                <c:pt idx="28">
                  <c:v>7.9098907802270944</c:v>
                </c:pt>
                <c:pt idx="29">
                  <c:v>8.3278102673268535</c:v>
                </c:pt>
                <c:pt idx="30">
                  <c:v>8.760570403224925</c:v>
                </c:pt>
                <c:pt idx="31">
                  <c:v>9.0934063331786312</c:v>
                </c:pt>
                <c:pt idx="32">
                  <c:v>9.5221720541929393</c:v>
                </c:pt>
                <c:pt idx="33">
                  <c:v>9.9955609179126199</c:v>
                </c:pt>
                <c:pt idx="34">
                  <c:v>10.445658568069483</c:v>
                </c:pt>
                <c:pt idx="35">
                  <c:v>10.860289893285524</c:v>
                </c:pt>
                <c:pt idx="37">
                  <c:v>10.891652978840922</c:v>
                </c:pt>
                <c:pt idx="38">
                  <c:v>10.931921927801636</c:v>
                </c:pt>
                <c:pt idx="39">
                  <c:v>10.984216601890552</c:v>
                </c:pt>
                <c:pt idx="40">
                  <c:v>11.002603236898572</c:v>
                </c:pt>
                <c:pt idx="41">
                  <c:v>11.05741398078932</c:v>
                </c:pt>
                <c:pt idx="42">
                  <c:v>11.078367029906744</c:v>
                </c:pt>
                <c:pt idx="43">
                  <c:v>11.131487072468836</c:v>
                </c:pt>
                <c:pt idx="44">
                  <c:v>11.261200237630561</c:v>
                </c:pt>
                <c:pt idx="45">
                  <c:v>11.271594361823745</c:v>
                </c:pt>
                <c:pt idx="46">
                  <c:v>11.286586950993106</c:v>
                </c:pt>
                <c:pt idx="47">
                  <c:v>11.337510118325634</c:v>
                </c:pt>
                <c:pt idx="48">
                  <c:v>11.308890505214187</c:v>
                </c:pt>
                <c:pt idx="49">
                  <c:v>11.237053930107097</c:v>
                </c:pt>
                <c:pt idx="50">
                  <c:v>11.144264962779069</c:v>
                </c:pt>
                <c:pt idx="51">
                  <c:v>10.816496086432547</c:v>
                </c:pt>
                <c:pt idx="52">
                  <c:v>10.394833698877877</c:v>
                </c:pt>
                <c:pt idx="53">
                  <c:v>9.7189741327521517</c:v>
                </c:pt>
                <c:pt idx="54">
                  <c:v>8.6389052900458765</c:v>
                </c:pt>
                <c:pt idx="55">
                  <c:v>7.2159226274913468</c:v>
                </c:pt>
                <c:pt idx="56">
                  <c:v>5.5515330676397516</c:v>
                </c:pt>
                <c:pt idx="57">
                  <c:v>4.0125911581759155</c:v>
                </c:pt>
                <c:pt idx="58">
                  <c:v>2.8843663702541082</c:v>
                </c:pt>
                <c:pt idx="59">
                  <c:v>2.1626121918560055</c:v>
                </c:pt>
                <c:pt idx="60">
                  <c:v>1.7582778939837518</c:v>
                </c:pt>
                <c:pt idx="61">
                  <c:v>1.0479469508973536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94-45A5-A6F5-01E7708C5884}"/>
            </c:ext>
          </c:extLst>
        </c:ser>
        <c:ser>
          <c:idx val="3"/>
          <c:order val="3"/>
          <c:tx>
            <c:strRef>
              <c:f>IC計算!$O$11</c:f>
              <c:strCache>
                <c:ptCount val="1"/>
                <c:pt idx="0">
                  <c:v>988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IC計算!$P$15:$P$104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5.8838064650492328</c:v>
                </c:pt>
                <c:pt idx="22">
                  <c:v>6.1566028270362665</c:v>
                </c:pt>
                <c:pt idx="23">
                  <c:v>6.4537757331349326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7.508575639944489</c:v>
                </c:pt>
                <c:pt idx="28">
                  <c:v>7.9098907802272436</c:v>
                </c:pt>
                <c:pt idx="29">
                  <c:v>8.2351011492746977</c:v>
                </c:pt>
                <c:pt idx="30">
                  <c:v>8.3278102673268535</c:v>
                </c:pt>
                <c:pt idx="31">
                  <c:v>8.7605704032250742</c:v>
                </c:pt>
                <c:pt idx="32">
                  <c:v>9.3028513926760468</c:v>
                </c:pt>
                <c:pt idx="33">
                  <c:v>9.8059189971377094</c:v>
                </c:pt>
                <c:pt idx="34">
                  <c:v>10.246903965294329</c:v>
                </c:pt>
                <c:pt idx="35">
                  <c:v>10.64461881302439</c:v>
                </c:pt>
                <c:pt idx="37">
                  <c:v>10.69930590636687</c:v>
                </c:pt>
                <c:pt idx="38">
                  <c:v>10.70441259258503</c:v>
                </c:pt>
                <c:pt idx="39">
                  <c:v>10.770634612409332</c:v>
                </c:pt>
                <c:pt idx="40">
                  <c:v>10.770634612409332</c:v>
                </c:pt>
                <c:pt idx="41">
                  <c:v>10.860289893285524</c:v>
                </c:pt>
                <c:pt idx="42">
                  <c:v>10.891652978840922</c:v>
                </c:pt>
                <c:pt idx="43">
                  <c:v>10.931921927801636</c:v>
                </c:pt>
                <c:pt idx="44">
                  <c:v>10.984216601890552</c:v>
                </c:pt>
                <c:pt idx="45">
                  <c:v>11.002603236898572</c:v>
                </c:pt>
                <c:pt idx="46">
                  <c:v>11.05741398078932</c:v>
                </c:pt>
                <c:pt idx="47">
                  <c:v>11.078367029906744</c:v>
                </c:pt>
                <c:pt idx="48">
                  <c:v>11.131487072468836</c:v>
                </c:pt>
                <c:pt idx="49">
                  <c:v>11.261200237630561</c:v>
                </c:pt>
                <c:pt idx="50">
                  <c:v>11.271594361823745</c:v>
                </c:pt>
                <c:pt idx="51">
                  <c:v>11.286586950993106</c:v>
                </c:pt>
                <c:pt idx="52">
                  <c:v>11.337510118325634</c:v>
                </c:pt>
                <c:pt idx="53">
                  <c:v>11.308890505214187</c:v>
                </c:pt>
                <c:pt idx="54">
                  <c:v>11.237053930107097</c:v>
                </c:pt>
                <c:pt idx="55">
                  <c:v>11.144264962779069</c:v>
                </c:pt>
                <c:pt idx="56">
                  <c:v>10.816496086432547</c:v>
                </c:pt>
                <c:pt idx="57">
                  <c:v>10.394833698877877</c:v>
                </c:pt>
                <c:pt idx="58">
                  <c:v>9.7189741327521517</c:v>
                </c:pt>
                <c:pt idx="59">
                  <c:v>8.6389052900458765</c:v>
                </c:pt>
                <c:pt idx="60">
                  <c:v>7.2159226274913468</c:v>
                </c:pt>
                <c:pt idx="61">
                  <c:v>5.5515330676397516</c:v>
                </c:pt>
                <c:pt idx="62">
                  <c:v>4.0125911581759155</c:v>
                </c:pt>
                <c:pt idx="63">
                  <c:v>2.8843663702541082</c:v>
                </c:pt>
                <c:pt idx="64">
                  <c:v>2.1626121918560055</c:v>
                </c:pt>
                <c:pt idx="65">
                  <c:v>1.7582778939837518</c:v>
                </c:pt>
                <c:pt idx="66">
                  <c:v>1.0479469508973536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94-45A5-A6F5-01E7708C5884}"/>
            </c:ext>
          </c:extLst>
        </c:ser>
        <c:ser>
          <c:idx val="4"/>
          <c:order val="4"/>
          <c:tx>
            <c:strRef>
              <c:f>IC計算!$R$11</c:f>
              <c:strCache>
                <c:ptCount val="1"/>
                <c:pt idx="0">
                  <c:v>993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IC計算!$S$15:$S$104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4.7931028239556923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5.2683707039146697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6.1566028270359681</c:v>
                </c:pt>
                <c:pt idx="23">
                  <c:v>6.1566028270362665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7.1302472608815037</c:v>
                </c:pt>
                <c:pt idx="28">
                  <c:v>7.508575639944489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8.760570403224925</c:v>
                </c:pt>
                <c:pt idx="32">
                  <c:v>9.1203302319539077</c:v>
                </c:pt>
                <c:pt idx="33">
                  <c:v>9.6305711591397944</c:v>
                </c:pt>
                <c:pt idx="34">
                  <c:v>10.118550262180015</c:v>
                </c:pt>
                <c:pt idx="35">
                  <c:v>10.457136755666674</c:v>
                </c:pt>
                <c:pt idx="37">
                  <c:v>10.513634654195634</c:v>
                </c:pt>
                <c:pt idx="38">
                  <c:v>10.513634654195634</c:v>
                </c:pt>
                <c:pt idx="39">
                  <c:v>10.585667060697908</c:v>
                </c:pt>
                <c:pt idx="40">
                  <c:v>10.605657714626256</c:v>
                </c:pt>
                <c:pt idx="41">
                  <c:v>10.64461881302439</c:v>
                </c:pt>
                <c:pt idx="42">
                  <c:v>10.69930590636687</c:v>
                </c:pt>
                <c:pt idx="43">
                  <c:v>10.70441259258503</c:v>
                </c:pt>
                <c:pt idx="44">
                  <c:v>10.770634612409332</c:v>
                </c:pt>
                <c:pt idx="45">
                  <c:v>10.770634612409332</c:v>
                </c:pt>
                <c:pt idx="46">
                  <c:v>10.860289893285524</c:v>
                </c:pt>
                <c:pt idx="47">
                  <c:v>10.891652978840922</c:v>
                </c:pt>
                <c:pt idx="48">
                  <c:v>10.931921927801636</c:v>
                </c:pt>
                <c:pt idx="49">
                  <c:v>10.984216601890552</c:v>
                </c:pt>
                <c:pt idx="50">
                  <c:v>11.002603236898572</c:v>
                </c:pt>
                <c:pt idx="51">
                  <c:v>11.05741398078932</c:v>
                </c:pt>
                <c:pt idx="52">
                  <c:v>11.078367029906744</c:v>
                </c:pt>
                <c:pt idx="53">
                  <c:v>11.131487072468836</c:v>
                </c:pt>
                <c:pt idx="54">
                  <c:v>11.261200237630561</c:v>
                </c:pt>
                <c:pt idx="55">
                  <c:v>11.271594361823745</c:v>
                </c:pt>
                <c:pt idx="56">
                  <c:v>11.286586950993106</c:v>
                </c:pt>
                <c:pt idx="57">
                  <c:v>11.337510118325634</c:v>
                </c:pt>
                <c:pt idx="58">
                  <c:v>11.308890505214187</c:v>
                </c:pt>
                <c:pt idx="59">
                  <c:v>11.237053930107097</c:v>
                </c:pt>
                <c:pt idx="60">
                  <c:v>11.144264962779069</c:v>
                </c:pt>
                <c:pt idx="61">
                  <c:v>10.816496086432547</c:v>
                </c:pt>
                <c:pt idx="62">
                  <c:v>10.394833698877877</c:v>
                </c:pt>
                <c:pt idx="63">
                  <c:v>9.7189741327521517</c:v>
                </c:pt>
                <c:pt idx="64">
                  <c:v>8.6389052900458765</c:v>
                </c:pt>
                <c:pt idx="65">
                  <c:v>7.2159226274913468</c:v>
                </c:pt>
                <c:pt idx="66">
                  <c:v>5.5515330676397516</c:v>
                </c:pt>
                <c:pt idx="67">
                  <c:v>4.0125911581759155</c:v>
                </c:pt>
                <c:pt idx="68">
                  <c:v>2.8843663702541082</c:v>
                </c:pt>
                <c:pt idx="69">
                  <c:v>2.1626121918560055</c:v>
                </c:pt>
                <c:pt idx="70">
                  <c:v>1.7582778939837518</c:v>
                </c:pt>
                <c:pt idx="71">
                  <c:v>1.0479469508973536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94-45A5-A6F5-01E7708C5884}"/>
            </c:ext>
          </c:extLst>
        </c:ser>
        <c:ser>
          <c:idx val="5"/>
          <c:order val="5"/>
          <c:tx>
            <c:strRef>
              <c:f>IC計算!$U$11</c:f>
              <c:strCache>
                <c:ptCount val="1"/>
                <c:pt idx="0">
                  <c:v>998</c:v>
                </c:pt>
              </c:strCache>
            </c:strRef>
          </c:tx>
          <c:spPr>
            <a:ln w="12700">
              <a:solidFill>
                <a:srgbClr val="009900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IC計算!$V$15:$V$104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3.6131602587451255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5.1336269832747234</c:v>
                </c:pt>
                <c:pt idx="18">
                  <c:v>5.4184299335766042</c:v>
                </c:pt>
                <c:pt idx="19">
                  <c:v>5.4184299335766042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5.8838064650489343</c:v>
                </c:pt>
                <c:pt idx="23">
                  <c:v>6.1566028270362665</c:v>
                </c:pt>
                <c:pt idx="24">
                  <c:v>6.4537757331346342</c:v>
                </c:pt>
                <c:pt idx="25">
                  <c:v>6.6077100522104857</c:v>
                </c:pt>
                <c:pt idx="26">
                  <c:v>6.781092095955465</c:v>
                </c:pt>
                <c:pt idx="27">
                  <c:v>7.1302472608815037</c:v>
                </c:pt>
                <c:pt idx="28">
                  <c:v>7.5085756399446382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8.7227554933352422</c:v>
                </c:pt>
                <c:pt idx="32">
                  <c:v>8.9562758532819871</c:v>
                </c:pt>
                <c:pt idx="33">
                  <c:v>9.4738153005076633</c:v>
                </c:pt>
                <c:pt idx="34">
                  <c:v>9.9217719049830535</c:v>
                </c:pt>
                <c:pt idx="35">
                  <c:v>10.246903965294329</c:v>
                </c:pt>
                <c:pt idx="37">
                  <c:v>10.35512477028923</c:v>
                </c:pt>
                <c:pt idx="38">
                  <c:v>10.356379435009007</c:v>
                </c:pt>
                <c:pt idx="39">
                  <c:v>10.407614502126766</c:v>
                </c:pt>
                <c:pt idx="40">
                  <c:v>10.445658568069483</c:v>
                </c:pt>
                <c:pt idx="41">
                  <c:v>10.457136755666674</c:v>
                </c:pt>
                <c:pt idx="42">
                  <c:v>10.513634654195634</c:v>
                </c:pt>
                <c:pt idx="43">
                  <c:v>10.513634654195634</c:v>
                </c:pt>
                <c:pt idx="44">
                  <c:v>10.585667060697908</c:v>
                </c:pt>
                <c:pt idx="45">
                  <c:v>10.605657714626256</c:v>
                </c:pt>
                <c:pt idx="46">
                  <c:v>10.64461881302439</c:v>
                </c:pt>
                <c:pt idx="47">
                  <c:v>10.69930590636687</c:v>
                </c:pt>
                <c:pt idx="48">
                  <c:v>10.70441259258503</c:v>
                </c:pt>
                <c:pt idx="49">
                  <c:v>10.770634612409332</c:v>
                </c:pt>
                <c:pt idx="50">
                  <c:v>10.770634612409332</c:v>
                </c:pt>
                <c:pt idx="51">
                  <c:v>10.860289893285524</c:v>
                </c:pt>
                <c:pt idx="52">
                  <c:v>10.891652978840922</c:v>
                </c:pt>
                <c:pt idx="53">
                  <c:v>10.931921927801636</c:v>
                </c:pt>
                <c:pt idx="54">
                  <c:v>10.984216601890552</c:v>
                </c:pt>
                <c:pt idx="55">
                  <c:v>11.002603236898572</c:v>
                </c:pt>
                <c:pt idx="56">
                  <c:v>11.05741398078932</c:v>
                </c:pt>
                <c:pt idx="57">
                  <c:v>11.078367029906744</c:v>
                </c:pt>
                <c:pt idx="58">
                  <c:v>11.131487072468836</c:v>
                </c:pt>
                <c:pt idx="59">
                  <c:v>11.261200237630561</c:v>
                </c:pt>
                <c:pt idx="60">
                  <c:v>11.271594361823745</c:v>
                </c:pt>
                <c:pt idx="61">
                  <c:v>11.286586950993106</c:v>
                </c:pt>
                <c:pt idx="62">
                  <c:v>11.337510118325634</c:v>
                </c:pt>
                <c:pt idx="63">
                  <c:v>11.308890505214187</c:v>
                </c:pt>
                <c:pt idx="64">
                  <c:v>11.237053930107097</c:v>
                </c:pt>
                <c:pt idx="65">
                  <c:v>11.144264962779069</c:v>
                </c:pt>
                <c:pt idx="66">
                  <c:v>10.816496086432547</c:v>
                </c:pt>
                <c:pt idx="67">
                  <c:v>10.394833698877877</c:v>
                </c:pt>
                <c:pt idx="68">
                  <c:v>9.7189741327521517</c:v>
                </c:pt>
                <c:pt idx="69">
                  <c:v>8.6389052900458765</c:v>
                </c:pt>
                <c:pt idx="70">
                  <c:v>7.2159226274913468</c:v>
                </c:pt>
                <c:pt idx="71">
                  <c:v>5.5515330676397516</c:v>
                </c:pt>
                <c:pt idx="72">
                  <c:v>4.0125911581759155</c:v>
                </c:pt>
                <c:pt idx="73">
                  <c:v>2.8843663702541082</c:v>
                </c:pt>
                <c:pt idx="74">
                  <c:v>2.1626121918560055</c:v>
                </c:pt>
                <c:pt idx="75">
                  <c:v>1.7582778939837518</c:v>
                </c:pt>
                <c:pt idx="76">
                  <c:v>1.0479469508973536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94-45A5-A6F5-01E7708C5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88768"/>
        <c:axId val="43490688"/>
      </c:scatterChart>
      <c:valAx>
        <c:axId val="43488768"/>
        <c:scaling>
          <c:orientation val="minMax"/>
          <c:max val="950"/>
          <c:min val="80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31051782407407402"/>
              <c:y val="0.77243611111111099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3490688"/>
        <c:crosses val="autoZero"/>
        <c:crossBetween val="midCat"/>
      </c:valAx>
      <c:valAx>
        <c:axId val="43490688"/>
        <c:scaling>
          <c:orientation val="minMax"/>
          <c:max val="15"/>
          <c:min val="0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en-US" altLang="ja-JP" baseline="0">
                    <a:latin typeface="+mn-ea"/>
                    <a:ea typeface="+mn-ea"/>
                  </a:rPr>
                  <a:t>IC2,</a:t>
                </a:r>
                <a:r>
                  <a:rPr lang="ja-JP" altLang="en-US" baseline="0">
                    <a:latin typeface="+mn-ea"/>
                    <a:ea typeface="+mn-ea"/>
                  </a:rPr>
                  <a:t>⊿</a:t>
                </a:r>
                <a:r>
                  <a:rPr lang="en-US" altLang="ja-JP" baseline="0">
                    <a:latin typeface="+mn-ea"/>
                    <a:ea typeface="+mn-ea"/>
                  </a:rPr>
                  <a:t>E [MeV]</a:t>
                </a:r>
                <a:r>
                  <a:rPr lang="ja-JP" altLang="en-US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IC2norm, </a:t>
                </a:r>
                <a:r>
                  <a:rPr lang="ja-JP" altLang="en-US" baseline="0">
                    <a:solidFill>
                      <a:srgbClr val="C00000"/>
                    </a:solidFill>
                    <a:latin typeface="+mn-ea"/>
                    <a:ea typeface="+mn-ea"/>
                  </a:rPr>
                  <a:t>⊿</a:t>
                </a:r>
                <a:r>
                  <a:rPr lang="en-US" altLang="ja-JP" baseline="0">
                    <a:solidFill>
                      <a:srgbClr val="C00000"/>
                    </a:solidFill>
                    <a:latin typeface="+mn-ea"/>
                    <a:ea typeface="+mn-ea"/>
                  </a:rPr>
                  <a:t>Eclc</a:t>
                </a:r>
                <a:endParaRPr lang="ja-JP" altLang="en-US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1.8439285714285714E-2"/>
              <c:y val="0.13117685185185182"/>
            </c:manualLayout>
          </c:layout>
          <c:overlay val="0"/>
        </c:title>
        <c:numFmt formatCode="0_ 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3488768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4690740740740746"/>
          <c:y val="8.8410763888888882E-2"/>
          <c:w val="0.17820416666666666"/>
          <c:h val="0.2860746527777777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IC解析!$BF$81</c:f>
          <c:strCache>
            <c:ptCount val="1"/>
            <c:pt idx="0">
              <c:v>IC2(norm_Ecal)</c:v>
            </c:pt>
          </c:strCache>
        </c:strRef>
      </c:tx>
      <c:layout>
        <c:manualLayout>
          <c:xMode val="edge"/>
          <c:yMode val="edge"/>
          <c:x val="0.21430115740740741"/>
          <c:y val="1.1395833333333332E-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60300925925925"/>
          <c:y val="4.7592592592592596E-2"/>
          <c:w val="0.75200995370370372"/>
          <c:h val="0.80822191358024686"/>
        </c:manualLayout>
      </c:layout>
      <c:scatterChart>
        <c:scatterStyle val="smoothMarker"/>
        <c:varyColors val="0"/>
        <c:ser>
          <c:idx val="0"/>
          <c:order val="0"/>
          <c:tx>
            <c:v>IC2norm</c:v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IC解析!$AV$15:$AV$71</c:f>
                <c:numCache>
                  <c:formatCode>General</c:formatCode>
                  <c:ptCount val="57"/>
                  <c:pt idx="0">
                    <c:v>0.11052295128063748</c:v>
                  </c:pt>
                  <c:pt idx="1">
                    <c:v>0.17536665371480795</c:v>
                  </c:pt>
                  <c:pt idx="2">
                    <c:v>0.12730672740402993</c:v>
                  </c:pt>
                  <c:pt idx="3">
                    <c:v>0.13248470088890632</c:v>
                  </c:pt>
                  <c:pt idx="4">
                    <c:v>0.12251561400710406</c:v>
                  </c:pt>
                  <c:pt idx="5">
                    <c:v>0.17381921336300579</c:v>
                  </c:pt>
                  <c:pt idx="6">
                    <c:v>0.15911853002088547</c:v>
                  </c:pt>
                  <c:pt idx="7">
                    <c:v>1.2897320162904762</c:v>
                  </c:pt>
                  <c:pt idx="8">
                    <c:v>0.2108685064013455</c:v>
                  </c:pt>
                  <c:pt idx="9">
                    <c:v>0.24684649458074526</c:v>
                  </c:pt>
                  <c:pt idx="10">
                    <c:v>0.24131141947622223</c:v>
                  </c:pt>
                  <c:pt idx="11">
                    <c:v>1.6524877449148625</c:v>
                  </c:pt>
                  <c:pt idx="12">
                    <c:v>0.24428726630661096</c:v>
                  </c:pt>
                  <c:pt idx="13">
                    <c:v>0.31395184060601117</c:v>
                  </c:pt>
                  <c:pt idx="14">
                    <c:v>0.16971254473706934</c:v>
                  </c:pt>
                  <c:pt idx="15">
                    <c:v>0.31186874782473906</c:v>
                  </c:pt>
                  <c:pt idx="16">
                    <c:v>2.2985440917922562</c:v>
                  </c:pt>
                  <c:pt idx="17">
                    <c:v>0.32496247387844945</c:v>
                  </c:pt>
                  <c:pt idx="18">
                    <c:v>0.44607943987527088</c:v>
                  </c:pt>
                  <c:pt idx="19">
                    <c:v>0.31871319553463312</c:v>
                  </c:pt>
                  <c:pt idx="20">
                    <c:v>2.8318158437979171</c:v>
                  </c:pt>
                  <c:pt idx="21">
                    <c:v>0.34668615574028722</c:v>
                  </c:pt>
                  <c:pt idx="22">
                    <c:v>0.39043110414700155</c:v>
                  </c:pt>
                  <c:pt idx="23">
                    <c:v>0.46214901275936993</c:v>
                  </c:pt>
                  <c:pt idx="24">
                    <c:v>0.38715767263357392</c:v>
                  </c:pt>
                  <c:pt idx="25">
                    <c:v>3.1663010275336099</c:v>
                  </c:pt>
                  <c:pt idx="26">
                    <c:v>0.48714612613463532</c:v>
                  </c:pt>
                  <c:pt idx="27">
                    <c:v>0.44905528670565958</c:v>
                  </c:pt>
                  <c:pt idx="28">
                    <c:v>1.3284180250855298</c:v>
                  </c:pt>
                  <c:pt idx="29">
                    <c:v>0.24080552551505613</c:v>
                  </c:pt>
                  <c:pt idx="30">
                    <c:v>1.0058362286713911</c:v>
                  </c:pt>
                  <c:pt idx="31">
                    <c:v>0.14045997039434813</c:v>
                  </c:pt>
                  <c:pt idx="32">
                    <c:v>0.17063505725448985</c:v>
                  </c:pt>
                  <c:pt idx="33">
                    <c:v>8.0050279737456875E-2</c:v>
                  </c:pt>
                  <c:pt idx="34">
                    <c:v>7.9693178117810223E-2</c:v>
                  </c:pt>
                  <c:pt idx="35">
                    <c:v>8.5942456461626557E-2</c:v>
                  </c:pt>
                  <c:pt idx="36">
                    <c:v>3.6097022052615314E-2</c:v>
                  </c:pt>
                  <c:pt idx="37">
                    <c:v>5.850514868544246E-2</c:v>
                  </c:pt>
                </c:numCache>
              </c:numRef>
            </c:plus>
            <c:minus>
              <c:numRef>
                <c:f>IC解析!$AV$15:$AV$71</c:f>
                <c:numCache>
                  <c:formatCode>General</c:formatCode>
                  <c:ptCount val="57"/>
                  <c:pt idx="0">
                    <c:v>0.11052295128063748</c:v>
                  </c:pt>
                  <c:pt idx="1">
                    <c:v>0.17536665371480795</c:v>
                  </c:pt>
                  <c:pt idx="2">
                    <c:v>0.12730672740402993</c:v>
                  </c:pt>
                  <c:pt idx="3">
                    <c:v>0.13248470088890632</c:v>
                  </c:pt>
                  <c:pt idx="4">
                    <c:v>0.12251561400710406</c:v>
                  </c:pt>
                  <c:pt idx="5">
                    <c:v>0.17381921336300579</c:v>
                  </c:pt>
                  <c:pt idx="6">
                    <c:v>0.15911853002088547</c:v>
                  </c:pt>
                  <c:pt idx="7">
                    <c:v>1.2897320162904762</c:v>
                  </c:pt>
                  <c:pt idx="8">
                    <c:v>0.2108685064013455</c:v>
                  </c:pt>
                  <c:pt idx="9">
                    <c:v>0.24684649458074526</c:v>
                  </c:pt>
                  <c:pt idx="10">
                    <c:v>0.24131141947622223</c:v>
                  </c:pt>
                  <c:pt idx="11">
                    <c:v>1.6524877449148625</c:v>
                  </c:pt>
                  <c:pt idx="12">
                    <c:v>0.24428726630661096</c:v>
                  </c:pt>
                  <c:pt idx="13">
                    <c:v>0.31395184060601117</c:v>
                  </c:pt>
                  <c:pt idx="14">
                    <c:v>0.16971254473706934</c:v>
                  </c:pt>
                  <c:pt idx="15">
                    <c:v>0.31186874782473906</c:v>
                  </c:pt>
                  <c:pt idx="16">
                    <c:v>2.2985440917922562</c:v>
                  </c:pt>
                  <c:pt idx="17">
                    <c:v>0.32496247387844945</c:v>
                  </c:pt>
                  <c:pt idx="18">
                    <c:v>0.44607943987527088</c:v>
                  </c:pt>
                  <c:pt idx="19">
                    <c:v>0.31871319553463312</c:v>
                  </c:pt>
                  <c:pt idx="20">
                    <c:v>2.8318158437979171</c:v>
                  </c:pt>
                  <c:pt idx="21">
                    <c:v>0.34668615574028722</c:v>
                  </c:pt>
                  <c:pt idx="22">
                    <c:v>0.39043110414700155</c:v>
                  </c:pt>
                  <c:pt idx="23">
                    <c:v>0.46214901275936993</c:v>
                  </c:pt>
                  <c:pt idx="24">
                    <c:v>0.38715767263357392</c:v>
                  </c:pt>
                  <c:pt idx="25">
                    <c:v>3.1663010275336099</c:v>
                  </c:pt>
                  <c:pt idx="26">
                    <c:v>0.48714612613463532</c:v>
                  </c:pt>
                  <c:pt idx="27">
                    <c:v>0.44905528670565958</c:v>
                  </c:pt>
                  <c:pt idx="28">
                    <c:v>1.3284180250855298</c:v>
                  </c:pt>
                  <c:pt idx="29">
                    <c:v>0.24080552551505613</c:v>
                  </c:pt>
                  <c:pt idx="30">
                    <c:v>1.0058362286713911</c:v>
                  </c:pt>
                  <c:pt idx="31">
                    <c:v>0.14045997039434813</c:v>
                  </c:pt>
                  <c:pt idx="32">
                    <c:v>0.17063505725448985</c:v>
                  </c:pt>
                  <c:pt idx="33">
                    <c:v>8.0050279737456875E-2</c:v>
                  </c:pt>
                  <c:pt idx="34">
                    <c:v>7.9693178117810223E-2</c:v>
                  </c:pt>
                  <c:pt idx="35">
                    <c:v>8.5942456461626557E-2</c:v>
                  </c:pt>
                  <c:pt idx="36">
                    <c:v>3.6097022052615314E-2</c:v>
                  </c:pt>
                  <c:pt idx="37">
                    <c:v>5.850514868544246E-2</c:v>
                  </c:pt>
                </c:numCache>
              </c:numRef>
            </c:minus>
            <c:spPr>
              <a:ln w="19050">
                <a:solidFill>
                  <a:srgbClr val="0000FF"/>
                </a:solidFill>
              </a:ln>
              <a:effectLst/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IC解析!$AU$15:$AU$71</c:f>
              <c:numCache>
                <c:formatCode>0.00_ </c:formatCode>
                <c:ptCount val="57"/>
                <c:pt idx="0">
                  <c:v>2.8024150505925531</c:v>
                </c:pt>
                <c:pt idx="1">
                  <c:v>3.0039910744928648</c:v>
                </c:pt>
                <c:pt idx="2">
                  <c:v>3.2624744103776115</c:v>
                </c:pt>
                <c:pt idx="3">
                  <c:v>3.3775283898969866</c:v>
                </c:pt>
                <c:pt idx="4">
                  <c:v>3.532739394175048</c:v>
                </c:pt>
                <c:pt idx="5">
                  <c:v>3.7636995645698801</c:v>
                </c:pt>
                <c:pt idx="6">
                  <c:v>4.1081125551948539</c:v>
                </c:pt>
                <c:pt idx="7">
                  <c:v>3.785586227581454</c:v>
                </c:pt>
                <c:pt idx="8">
                  <c:v>4.4832587239609074</c:v>
                </c:pt>
                <c:pt idx="9">
                  <c:v>5.1893503840550785</c:v>
                </c:pt>
                <c:pt idx="10">
                  <c:v>5.4165221463834961</c:v>
                </c:pt>
                <c:pt idx="11">
                  <c:v>5.2115134194708723</c:v>
                </c:pt>
                <c:pt idx="12">
                  <c:v>6.0670840034840454</c:v>
                </c:pt>
                <c:pt idx="13">
                  <c:v>6.6410663980573332</c:v>
                </c:pt>
                <c:pt idx="14">
                  <c:v>7.3596156079489017</c:v>
                </c:pt>
                <c:pt idx="15">
                  <c:v>7.7443762219303274</c:v>
                </c:pt>
                <c:pt idx="16">
                  <c:v>7.3043366966988401</c:v>
                </c:pt>
                <c:pt idx="17">
                  <c:v>8.462671857253838</c:v>
                </c:pt>
                <c:pt idx="18">
                  <c:v>8.6252175419243429</c:v>
                </c:pt>
                <c:pt idx="19">
                  <c:v>9.3556047803293065</c:v>
                </c:pt>
                <c:pt idx="20">
                  <c:v>9.0311937891359744</c:v>
                </c:pt>
                <c:pt idx="21">
                  <c:v>10.285911154195785</c:v>
                </c:pt>
                <c:pt idx="22">
                  <c:v>10.740471965792286</c:v>
                </c:pt>
                <c:pt idx="23">
                  <c:v>10.87522822385135</c:v>
                </c:pt>
                <c:pt idx="24">
                  <c:v>11.182326619195562</c:v>
                </c:pt>
                <c:pt idx="25">
                  <c:v>10.329446729691862</c:v>
                </c:pt>
                <c:pt idx="26">
                  <c:v>11.548780792142638</c:v>
                </c:pt>
                <c:pt idx="27">
                  <c:v>10.655544575330586</c:v>
                </c:pt>
                <c:pt idx="28">
                  <c:v>6.998719350581978</c:v>
                </c:pt>
                <c:pt idx="29">
                  <c:v>5.3370179465184266</c:v>
                </c:pt>
                <c:pt idx="30">
                  <c:v>2.5324130912086993</c:v>
                </c:pt>
                <c:pt idx="31">
                  <c:v>1.4726208357766439</c:v>
                </c:pt>
                <c:pt idx="32">
                  <c:v>-8.8128449451803717E-2</c:v>
                </c:pt>
                <c:pt idx="33">
                  <c:v>-0.51830079804153972</c:v>
                </c:pt>
                <c:pt idx="34">
                  <c:v>-0.65201356446848591</c:v>
                </c:pt>
                <c:pt idx="35">
                  <c:v>-0.67367880885563891</c:v>
                </c:pt>
                <c:pt idx="36">
                  <c:v>-0.75094190871038891</c:v>
                </c:pt>
                <c:pt idx="37">
                  <c:v>-0.7461801308053303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72-430B-94D9-77A907C3BB22}"/>
            </c:ext>
          </c:extLst>
        </c:ser>
        <c:ser>
          <c:idx val="1"/>
          <c:order val="1"/>
          <c:tx>
            <c:strRef>
              <c:f>IC計算!$I$11</c:f>
              <c:strCache>
                <c:ptCount val="1"/>
                <c:pt idx="0">
                  <c:v>978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IC計算!$J$15:$J$104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5.4184299335766042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5.8838064650489343</c:v>
                </c:pt>
                <c:pt idx="20">
                  <c:v>5.8838064650492328</c:v>
                </c:pt>
                <c:pt idx="21">
                  <c:v>6.1566028270362665</c:v>
                </c:pt>
                <c:pt idx="22">
                  <c:v>6.4537757331346342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7.508575639944489</c:v>
                </c:pt>
                <c:pt idx="27">
                  <c:v>7.9098907802272436</c:v>
                </c:pt>
                <c:pt idx="28">
                  <c:v>7.9098907802272436</c:v>
                </c:pt>
                <c:pt idx="29">
                  <c:v>8.3278102673268535</c:v>
                </c:pt>
                <c:pt idx="30">
                  <c:v>8.7605704032250742</c:v>
                </c:pt>
                <c:pt idx="31">
                  <c:v>9.3028513926760468</c:v>
                </c:pt>
                <c:pt idx="32">
                  <c:v>9.7227393692762121</c:v>
                </c:pt>
                <c:pt idx="33">
                  <c:v>10.173510331132782</c:v>
                </c:pt>
                <c:pt idx="34">
                  <c:v>10.605657714626256</c:v>
                </c:pt>
                <c:pt idx="35">
                  <c:v>11.05741398078932</c:v>
                </c:pt>
                <c:pt idx="37">
                  <c:v>11.078367029906744</c:v>
                </c:pt>
                <c:pt idx="38">
                  <c:v>11.131487072468836</c:v>
                </c:pt>
                <c:pt idx="39">
                  <c:v>11.261200237630561</c:v>
                </c:pt>
                <c:pt idx="40">
                  <c:v>11.271594361823745</c:v>
                </c:pt>
                <c:pt idx="41">
                  <c:v>11.286586950993106</c:v>
                </c:pt>
                <c:pt idx="42">
                  <c:v>11.337510118325634</c:v>
                </c:pt>
                <c:pt idx="43">
                  <c:v>11.308890505214187</c:v>
                </c:pt>
                <c:pt idx="44">
                  <c:v>11.237053930107097</c:v>
                </c:pt>
                <c:pt idx="45">
                  <c:v>11.144264962779069</c:v>
                </c:pt>
                <c:pt idx="46">
                  <c:v>10.816496086432547</c:v>
                </c:pt>
                <c:pt idx="47">
                  <c:v>10.394833698877877</c:v>
                </c:pt>
                <c:pt idx="48">
                  <c:v>9.7189741327521517</c:v>
                </c:pt>
                <c:pt idx="49">
                  <c:v>8.6389052900458765</c:v>
                </c:pt>
                <c:pt idx="50">
                  <c:v>7.2159226274913468</c:v>
                </c:pt>
                <c:pt idx="51">
                  <c:v>5.5515330676397516</c:v>
                </c:pt>
                <c:pt idx="52">
                  <c:v>4.0125911581759155</c:v>
                </c:pt>
                <c:pt idx="53">
                  <c:v>2.8843663702541082</c:v>
                </c:pt>
                <c:pt idx="54">
                  <c:v>2.1626121918560055</c:v>
                </c:pt>
                <c:pt idx="55">
                  <c:v>1.7582778939837518</c:v>
                </c:pt>
                <c:pt idx="56">
                  <c:v>1.0479469508973536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72-430B-94D9-77A907C3BB22}"/>
            </c:ext>
          </c:extLst>
        </c:ser>
        <c:ser>
          <c:idx val="2"/>
          <c:order val="2"/>
          <c:tx>
            <c:strRef>
              <c:f>IC計算!$L$11</c:f>
              <c:strCache>
                <c:ptCount val="1"/>
                <c:pt idx="0">
                  <c:v>983</c:v>
                </c:pt>
              </c:strCache>
            </c:strRef>
          </c:tx>
          <c:spPr>
            <a:ln w="12700">
              <a:solidFill>
                <a:srgbClr val="CC00FF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IC計算!$M$15:$M$104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6.1566028270362665</c:v>
                </c:pt>
                <c:pt idx="22">
                  <c:v>6.1566028270359681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7.1302472608816529</c:v>
                </c:pt>
                <c:pt idx="27">
                  <c:v>7.508575639944489</c:v>
                </c:pt>
                <c:pt idx="28">
                  <c:v>7.9098907802270944</c:v>
                </c:pt>
                <c:pt idx="29">
                  <c:v>8.3278102673268535</c:v>
                </c:pt>
                <c:pt idx="30">
                  <c:v>8.760570403224925</c:v>
                </c:pt>
                <c:pt idx="31">
                  <c:v>9.0934063331786312</c:v>
                </c:pt>
                <c:pt idx="32">
                  <c:v>9.5221720541929393</c:v>
                </c:pt>
                <c:pt idx="33">
                  <c:v>9.9955609179126199</c:v>
                </c:pt>
                <c:pt idx="34">
                  <c:v>10.445658568069483</c:v>
                </c:pt>
                <c:pt idx="35">
                  <c:v>10.860289893285524</c:v>
                </c:pt>
                <c:pt idx="37">
                  <c:v>10.891652978840922</c:v>
                </c:pt>
                <c:pt idx="38">
                  <c:v>10.931921927801636</c:v>
                </c:pt>
                <c:pt idx="39">
                  <c:v>10.984216601890552</c:v>
                </c:pt>
                <c:pt idx="40">
                  <c:v>11.002603236898572</c:v>
                </c:pt>
                <c:pt idx="41">
                  <c:v>11.05741398078932</c:v>
                </c:pt>
                <c:pt idx="42">
                  <c:v>11.078367029906744</c:v>
                </c:pt>
                <c:pt idx="43">
                  <c:v>11.131487072468836</c:v>
                </c:pt>
                <c:pt idx="44">
                  <c:v>11.261200237630561</c:v>
                </c:pt>
                <c:pt idx="45">
                  <c:v>11.271594361823745</c:v>
                </c:pt>
                <c:pt idx="46">
                  <c:v>11.286586950993106</c:v>
                </c:pt>
                <c:pt idx="47">
                  <c:v>11.337510118325634</c:v>
                </c:pt>
                <c:pt idx="48">
                  <c:v>11.308890505214187</c:v>
                </c:pt>
                <c:pt idx="49">
                  <c:v>11.237053930107097</c:v>
                </c:pt>
                <c:pt idx="50">
                  <c:v>11.144264962779069</c:v>
                </c:pt>
                <c:pt idx="51">
                  <c:v>10.816496086432547</c:v>
                </c:pt>
                <c:pt idx="52">
                  <c:v>10.394833698877877</c:v>
                </c:pt>
                <c:pt idx="53">
                  <c:v>9.7189741327521517</c:v>
                </c:pt>
                <c:pt idx="54">
                  <c:v>8.6389052900458765</c:v>
                </c:pt>
                <c:pt idx="55">
                  <c:v>7.2159226274913468</c:v>
                </c:pt>
                <c:pt idx="56">
                  <c:v>5.5515330676397516</c:v>
                </c:pt>
                <c:pt idx="57">
                  <c:v>4.0125911581759155</c:v>
                </c:pt>
                <c:pt idx="58">
                  <c:v>2.8843663702541082</c:v>
                </c:pt>
                <c:pt idx="59">
                  <c:v>2.1626121918560055</c:v>
                </c:pt>
                <c:pt idx="60">
                  <c:v>1.7582778939837518</c:v>
                </c:pt>
                <c:pt idx="61">
                  <c:v>1.0479469508973536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72-430B-94D9-77A907C3BB22}"/>
            </c:ext>
          </c:extLst>
        </c:ser>
        <c:ser>
          <c:idx val="3"/>
          <c:order val="3"/>
          <c:tx>
            <c:strRef>
              <c:f>IC計算!$O$11</c:f>
              <c:strCache>
                <c:ptCount val="1"/>
                <c:pt idx="0">
                  <c:v>988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IC計算!$P$15:$P$104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5.8838064650492328</c:v>
                </c:pt>
                <c:pt idx="22">
                  <c:v>6.1566028270362665</c:v>
                </c:pt>
                <c:pt idx="23">
                  <c:v>6.4537757331349326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7.508575639944489</c:v>
                </c:pt>
                <c:pt idx="28">
                  <c:v>7.9098907802272436</c:v>
                </c:pt>
                <c:pt idx="29">
                  <c:v>8.2351011492746977</c:v>
                </c:pt>
                <c:pt idx="30">
                  <c:v>8.3278102673268535</c:v>
                </c:pt>
                <c:pt idx="31">
                  <c:v>8.7605704032250742</c:v>
                </c:pt>
                <c:pt idx="32">
                  <c:v>9.3028513926760468</c:v>
                </c:pt>
                <c:pt idx="33">
                  <c:v>9.8059189971377094</c:v>
                </c:pt>
                <c:pt idx="34">
                  <c:v>10.246903965294329</c:v>
                </c:pt>
                <c:pt idx="35">
                  <c:v>10.64461881302439</c:v>
                </c:pt>
                <c:pt idx="37">
                  <c:v>10.69930590636687</c:v>
                </c:pt>
                <c:pt idx="38">
                  <c:v>10.70441259258503</c:v>
                </c:pt>
                <c:pt idx="39">
                  <c:v>10.770634612409332</c:v>
                </c:pt>
                <c:pt idx="40">
                  <c:v>10.770634612409332</c:v>
                </c:pt>
                <c:pt idx="41">
                  <c:v>10.860289893285524</c:v>
                </c:pt>
                <c:pt idx="42">
                  <c:v>10.891652978840922</c:v>
                </c:pt>
                <c:pt idx="43">
                  <c:v>10.931921927801636</c:v>
                </c:pt>
                <c:pt idx="44">
                  <c:v>10.984216601890552</c:v>
                </c:pt>
                <c:pt idx="45">
                  <c:v>11.002603236898572</c:v>
                </c:pt>
                <c:pt idx="46">
                  <c:v>11.05741398078932</c:v>
                </c:pt>
                <c:pt idx="47">
                  <c:v>11.078367029906744</c:v>
                </c:pt>
                <c:pt idx="48">
                  <c:v>11.131487072468836</c:v>
                </c:pt>
                <c:pt idx="49">
                  <c:v>11.261200237630561</c:v>
                </c:pt>
                <c:pt idx="50">
                  <c:v>11.271594361823745</c:v>
                </c:pt>
                <c:pt idx="51">
                  <c:v>11.286586950993106</c:v>
                </c:pt>
                <c:pt idx="52">
                  <c:v>11.337510118325634</c:v>
                </c:pt>
                <c:pt idx="53">
                  <c:v>11.308890505214187</c:v>
                </c:pt>
                <c:pt idx="54">
                  <c:v>11.237053930107097</c:v>
                </c:pt>
                <c:pt idx="55">
                  <c:v>11.144264962779069</c:v>
                </c:pt>
                <c:pt idx="56">
                  <c:v>10.816496086432547</c:v>
                </c:pt>
                <c:pt idx="57">
                  <c:v>10.394833698877877</c:v>
                </c:pt>
                <c:pt idx="58">
                  <c:v>9.7189741327521517</c:v>
                </c:pt>
                <c:pt idx="59">
                  <c:v>8.6389052900458765</c:v>
                </c:pt>
                <c:pt idx="60">
                  <c:v>7.2159226274913468</c:v>
                </c:pt>
                <c:pt idx="61">
                  <c:v>5.5515330676397516</c:v>
                </c:pt>
                <c:pt idx="62">
                  <c:v>4.0125911581759155</c:v>
                </c:pt>
                <c:pt idx="63">
                  <c:v>2.8843663702541082</c:v>
                </c:pt>
                <c:pt idx="64">
                  <c:v>2.1626121918560055</c:v>
                </c:pt>
                <c:pt idx="65">
                  <c:v>1.7582778939837518</c:v>
                </c:pt>
                <c:pt idx="66">
                  <c:v>1.0479469508973536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72-430B-94D9-77A907C3BB22}"/>
            </c:ext>
          </c:extLst>
        </c:ser>
        <c:ser>
          <c:idx val="4"/>
          <c:order val="4"/>
          <c:tx>
            <c:strRef>
              <c:f>IC計算!$R$11</c:f>
              <c:strCache>
                <c:ptCount val="1"/>
                <c:pt idx="0">
                  <c:v>993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IC計算!$S$15:$S$104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4.7931028239556923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5.2683707039146697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6.1566028270359681</c:v>
                </c:pt>
                <c:pt idx="23">
                  <c:v>6.1566028270362665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7.1302472608815037</c:v>
                </c:pt>
                <c:pt idx="28">
                  <c:v>7.508575639944489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8.760570403224925</c:v>
                </c:pt>
                <c:pt idx="32">
                  <c:v>9.1203302319539077</c:v>
                </c:pt>
                <c:pt idx="33">
                  <c:v>9.6305711591397944</c:v>
                </c:pt>
                <c:pt idx="34">
                  <c:v>10.118550262180015</c:v>
                </c:pt>
                <c:pt idx="35">
                  <c:v>10.457136755666674</c:v>
                </c:pt>
                <c:pt idx="37">
                  <c:v>10.513634654195634</c:v>
                </c:pt>
                <c:pt idx="38">
                  <c:v>10.513634654195634</c:v>
                </c:pt>
                <c:pt idx="39">
                  <c:v>10.585667060697908</c:v>
                </c:pt>
                <c:pt idx="40">
                  <c:v>10.605657714626256</c:v>
                </c:pt>
                <c:pt idx="41">
                  <c:v>10.64461881302439</c:v>
                </c:pt>
                <c:pt idx="42">
                  <c:v>10.69930590636687</c:v>
                </c:pt>
                <c:pt idx="43">
                  <c:v>10.70441259258503</c:v>
                </c:pt>
                <c:pt idx="44">
                  <c:v>10.770634612409332</c:v>
                </c:pt>
                <c:pt idx="45">
                  <c:v>10.770634612409332</c:v>
                </c:pt>
                <c:pt idx="46">
                  <c:v>10.860289893285524</c:v>
                </c:pt>
                <c:pt idx="47">
                  <c:v>10.891652978840922</c:v>
                </c:pt>
                <c:pt idx="48">
                  <c:v>10.931921927801636</c:v>
                </c:pt>
                <c:pt idx="49">
                  <c:v>10.984216601890552</c:v>
                </c:pt>
                <c:pt idx="50">
                  <c:v>11.002603236898572</c:v>
                </c:pt>
                <c:pt idx="51">
                  <c:v>11.05741398078932</c:v>
                </c:pt>
                <c:pt idx="52">
                  <c:v>11.078367029906744</c:v>
                </c:pt>
                <c:pt idx="53">
                  <c:v>11.131487072468836</c:v>
                </c:pt>
                <c:pt idx="54">
                  <c:v>11.261200237630561</c:v>
                </c:pt>
                <c:pt idx="55">
                  <c:v>11.271594361823745</c:v>
                </c:pt>
                <c:pt idx="56">
                  <c:v>11.286586950993106</c:v>
                </c:pt>
                <c:pt idx="57">
                  <c:v>11.337510118325634</c:v>
                </c:pt>
                <c:pt idx="58">
                  <c:v>11.308890505214187</c:v>
                </c:pt>
                <c:pt idx="59">
                  <c:v>11.237053930107097</c:v>
                </c:pt>
                <c:pt idx="60">
                  <c:v>11.144264962779069</c:v>
                </c:pt>
                <c:pt idx="61">
                  <c:v>10.816496086432547</c:v>
                </c:pt>
                <c:pt idx="62">
                  <c:v>10.394833698877877</c:v>
                </c:pt>
                <c:pt idx="63">
                  <c:v>9.7189741327521517</c:v>
                </c:pt>
                <c:pt idx="64">
                  <c:v>8.6389052900458765</c:v>
                </c:pt>
                <c:pt idx="65">
                  <c:v>7.2159226274913468</c:v>
                </c:pt>
                <c:pt idx="66">
                  <c:v>5.5515330676397516</c:v>
                </c:pt>
                <c:pt idx="67">
                  <c:v>4.0125911581759155</c:v>
                </c:pt>
                <c:pt idx="68">
                  <c:v>2.8843663702541082</c:v>
                </c:pt>
                <c:pt idx="69">
                  <c:v>2.1626121918560055</c:v>
                </c:pt>
                <c:pt idx="70">
                  <c:v>1.7582778939837518</c:v>
                </c:pt>
                <c:pt idx="71">
                  <c:v>1.0479469508973536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72-430B-94D9-77A907C3BB22}"/>
            </c:ext>
          </c:extLst>
        </c:ser>
        <c:ser>
          <c:idx val="5"/>
          <c:order val="5"/>
          <c:tx>
            <c:strRef>
              <c:f>IC計算!$U$11</c:f>
              <c:strCache>
                <c:ptCount val="1"/>
                <c:pt idx="0">
                  <c:v>998</c:v>
                </c:pt>
              </c:strCache>
            </c:strRef>
          </c:tx>
          <c:spPr>
            <a:ln w="12700">
              <a:solidFill>
                <a:srgbClr val="009900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IC計算!$V$15:$V$104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3.6131602587451255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5.1336269832747234</c:v>
                </c:pt>
                <c:pt idx="18">
                  <c:v>5.4184299335766042</c:v>
                </c:pt>
                <c:pt idx="19">
                  <c:v>5.4184299335766042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5.8838064650489343</c:v>
                </c:pt>
                <c:pt idx="23">
                  <c:v>6.1566028270362665</c:v>
                </c:pt>
                <c:pt idx="24">
                  <c:v>6.4537757331346342</c:v>
                </c:pt>
                <c:pt idx="25">
                  <c:v>6.6077100522104857</c:v>
                </c:pt>
                <c:pt idx="26">
                  <c:v>6.781092095955465</c:v>
                </c:pt>
                <c:pt idx="27">
                  <c:v>7.1302472608815037</c:v>
                </c:pt>
                <c:pt idx="28">
                  <c:v>7.5085756399446382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8.7227554933352422</c:v>
                </c:pt>
                <c:pt idx="32">
                  <c:v>8.9562758532819871</c:v>
                </c:pt>
                <c:pt idx="33">
                  <c:v>9.4738153005076633</c:v>
                </c:pt>
                <c:pt idx="34">
                  <c:v>9.9217719049830535</c:v>
                </c:pt>
                <c:pt idx="35">
                  <c:v>10.246903965294329</c:v>
                </c:pt>
                <c:pt idx="37">
                  <c:v>10.35512477028923</c:v>
                </c:pt>
                <c:pt idx="38">
                  <c:v>10.356379435009007</c:v>
                </c:pt>
                <c:pt idx="39">
                  <c:v>10.407614502126766</c:v>
                </c:pt>
                <c:pt idx="40">
                  <c:v>10.445658568069483</c:v>
                </c:pt>
                <c:pt idx="41">
                  <c:v>10.457136755666674</c:v>
                </c:pt>
                <c:pt idx="42">
                  <c:v>10.513634654195634</c:v>
                </c:pt>
                <c:pt idx="43">
                  <c:v>10.513634654195634</c:v>
                </c:pt>
                <c:pt idx="44">
                  <c:v>10.585667060697908</c:v>
                </c:pt>
                <c:pt idx="45">
                  <c:v>10.605657714626256</c:v>
                </c:pt>
                <c:pt idx="46">
                  <c:v>10.64461881302439</c:v>
                </c:pt>
                <c:pt idx="47">
                  <c:v>10.69930590636687</c:v>
                </c:pt>
                <c:pt idx="48">
                  <c:v>10.70441259258503</c:v>
                </c:pt>
                <c:pt idx="49">
                  <c:v>10.770634612409332</c:v>
                </c:pt>
                <c:pt idx="50">
                  <c:v>10.770634612409332</c:v>
                </c:pt>
                <c:pt idx="51">
                  <c:v>10.860289893285524</c:v>
                </c:pt>
                <c:pt idx="52">
                  <c:v>10.891652978840922</c:v>
                </c:pt>
                <c:pt idx="53">
                  <c:v>10.931921927801636</c:v>
                </c:pt>
                <c:pt idx="54">
                  <c:v>10.984216601890552</c:v>
                </c:pt>
                <c:pt idx="55">
                  <c:v>11.002603236898572</c:v>
                </c:pt>
                <c:pt idx="56">
                  <c:v>11.05741398078932</c:v>
                </c:pt>
                <c:pt idx="57">
                  <c:v>11.078367029906744</c:v>
                </c:pt>
                <c:pt idx="58">
                  <c:v>11.131487072468836</c:v>
                </c:pt>
                <c:pt idx="59">
                  <c:v>11.261200237630561</c:v>
                </c:pt>
                <c:pt idx="60">
                  <c:v>11.271594361823745</c:v>
                </c:pt>
                <c:pt idx="61">
                  <c:v>11.286586950993106</c:v>
                </c:pt>
                <c:pt idx="62">
                  <c:v>11.337510118325634</c:v>
                </c:pt>
                <c:pt idx="63">
                  <c:v>11.308890505214187</c:v>
                </c:pt>
                <c:pt idx="64">
                  <c:v>11.237053930107097</c:v>
                </c:pt>
                <c:pt idx="65">
                  <c:v>11.144264962779069</c:v>
                </c:pt>
                <c:pt idx="66">
                  <c:v>10.816496086432547</c:v>
                </c:pt>
                <c:pt idx="67">
                  <c:v>10.394833698877877</c:v>
                </c:pt>
                <c:pt idx="68">
                  <c:v>9.7189741327521517</c:v>
                </c:pt>
                <c:pt idx="69">
                  <c:v>8.6389052900458765</c:v>
                </c:pt>
                <c:pt idx="70">
                  <c:v>7.2159226274913468</c:v>
                </c:pt>
                <c:pt idx="71">
                  <c:v>5.5515330676397516</c:v>
                </c:pt>
                <c:pt idx="72">
                  <c:v>4.0125911581759155</c:v>
                </c:pt>
                <c:pt idx="73">
                  <c:v>2.8843663702541082</c:v>
                </c:pt>
                <c:pt idx="74">
                  <c:v>2.1626121918560055</c:v>
                </c:pt>
                <c:pt idx="75">
                  <c:v>1.7582778939837518</c:v>
                </c:pt>
                <c:pt idx="76">
                  <c:v>1.0479469508973536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72-430B-94D9-77A907C3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67360"/>
        <c:axId val="43573632"/>
      </c:scatterChart>
      <c:valAx>
        <c:axId val="43567360"/>
        <c:scaling>
          <c:orientation val="minMax"/>
          <c:max val="1000"/>
          <c:min val="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44574930555555548"/>
              <c:y val="0.76802638888888886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3573632"/>
        <c:crosses val="autoZero"/>
        <c:crossBetween val="midCat"/>
      </c:valAx>
      <c:valAx>
        <c:axId val="43573632"/>
        <c:scaling>
          <c:orientation val="minMax"/>
          <c:max val="15"/>
          <c:min val="0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en-US" altLang="ja-JP" baseline="0">
                    <a:latin typeface="+mn-ea"/>
                    <a:ea typeface="+mn-ea"/>
                  </a:rPr>
                  <a:t>IC2,</a:t>
                </a:r>
                <a:r>
                  <a:rPr lang="ja-JP" altLang="en-US" baseline="0">
                    <a:latin typeface="+mn-ea"/>
                    <a:ea typeface="+mn-ea"/>
                  </a:rPr>
                  <a:t>⊿</a:t>
                </a:r>
                <a:r>
                  <a:rPr lang="en-US" altLang="ja-JP" baseline="0">
                    <a:latin typeface="+mn-ea"/>
                    <a:ea typeface="+mn-ea"/>
                  </a:rPr>
                  <a:t>E [MeV]</a:t>
                </a:r>
                <a:r>
                  <a:rPr lang="ja-JP" altLang="en-US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IC2norm, </a:t>
                </a:r>
                <a:r>
                  <a:rPr lang="ja-JP" altLang="en-US" baseline="0">
                    <a:solidFill>
                      <a:srgbClr val="C00000"/>
                    </a:solidFill>
                    <a:latin typeface="+mn-ea"/>
                    <a:ea typeface="+mn-ea"/>
                  </a:rPr>
                  <a:t>⊿</a:t>
                </a:r>
                <a:r>
                  <a:rPr lang="en-US" altLang="ja-JP" baseline="0">
                    <a:solidFill>
                      <a:srgbClr val="C00000"/>
                    </a:solidFill>
                    <a:latin typeface="+mn-ea"/>
                    <a:ea typeface="+mn-ea"/>
                  </a:rPr>
                  <a:t>Eclc</a:t>
                </a:r>
                <a:endParaRPr lang="ja-JP" altLang="en-US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1.8439285714285714E-2"/>
              <c:y val="0.13117685185185182"/>
            </c:manualLayout>
          </c:layout>
          <c:overlay val="0"/>
        </c:title>
        <c:numFmt formatCode="0_ 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3567360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1774074074074076"/>
          <c:y val="9.2820486111111114E-2"/>
          <c:w val="0.17820416666666666"/>
          <c:h val="0.2860746527777777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+mn-ea"/>
                <a:ea typeface="+mn-ea"/>
              </a:defRPr>
            </a:pPr>
            <a:r>
              <a:rPr lang="en-US" altLang="en-US"/>
              <a:t>IC2 calc : ExpR diff</a:t>
            </a:r>
          </a:p>
        </c:rich>
      </c:tx>
      <c:layout>
        <c:manualLayout>
          <c:xMode val="edge"/>
          <c:yMode val="edge"/>
          <c:x val="0.15205139790397054"/>
          <c:y val="3.4653328151778406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3241996203987763"/>
          <c:y val="6.1311728395061729E-2"/>
          <c:w val="0.82932830589178741"/>
          <c:h val="0.78783888888888898"/>
        </c:manualLayout>
      </c:layout>
      <c:scatterChart>
        <c:scatterStyle val="smoothMarker"/>
        <c:varyColors val="0"/>
        <c:ser>
          <c:idx val="1"/>
          <c:order val="0"/>
          <c:tx>
            <c:strRef>
              <c:f>IC計算!$I$11</c:f>
              <c:strCache>
                <c:ptCount val="1"/>
                <c:pt idx="0">
                  <c:v>978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circle"/>
            <c:size val="2"/>
            <c:spPr>
              <a:solidFill>
                <a:srgbClr val="6600FF"/>
              </a:solidFill>
              <a:ln>
                <a:noFill/>
              </a:ln>
            </c:spPr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IC計算!$J$15:$J$104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5.4184299335766042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5.8838064650489343</c:v>
                </c:pt>
                <c:pt idx="20">
                  <c:v>5.8838064650492328</c:v>
                </c:pt>
                <c:pt idx="21">
                  <c:v>6.1566028270362665</c:v>
                </c:pt>
                <c:pt idx="22">
                  <c:v>6.4537757331346342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7.508575639944489</c:v>
                </c:pt>
                <c:pt idx="27">
                  <c:v>7.9098907802272436</c:v>
                </c:pt>
                <c:pt idx="28">
                  <c:v>7.9098907802272436</c:v>
                </c:pt>
                <c:pt idx="29">
                  <c:v>8.3278102673268535</c:v>
                </c:pt>
                <c:pt idx="30">
                  <c:v>8.7605704032250742</c:v>
                </c:pt>
                <c:pt idx="31">
                  <c:v>9.3028513926760468</c:v>
                </c:pt>
                <c:pt idx="32">
                  <c:v>9.7227393692762121</c:v>
                </c:pt>
                <c:pt idx="33">
                  <c:v>10.173510331132782</c:v>
                </c:pt>
                <c:pt idx="34">
                  <c:v>10.605657714626256</c:v>
                </c:pt>
                <c:pt idx="35">
                  <c:v>11.05741398078932</c:v>
                </c:pt>
                <c:pt idx="37">
                  <c:v>11.078367029906744</c:v>
                </c:pt>
                <c:pt idx="38">
                  <c:v>11.131487072468836</c:v>
                </c:pt>
                <c:pt idx="39">
                  <c:v>11.261200237630561</c:v>
                </c:pt>
                <c:pt idx="40">
                  <c:v>11.271594361823745</c:v>
                </c:pt>
                <c:pt idx="41">
                  <c:v>11.286586950993106</c:v>
                </c:pt>
                <c:pt idx="42">
                  <c:v>11.337510118325634</c:v>
                </c:pt>
                <c:pt idx="43">
                  <c:v>11.308890505214187</c:v>
                </c:pt>
                <c:pt idx="44">
                  <c:v>11.237053930107097</c:v>
                </c:pt>
                <c:pt idx="45">
                  <c:v>11.144264962779069</c:v>
                </c:pt>
                <c:pt idx="46">
                  <c:v>10.816496086432547</c:v>
                </c:pt>
                <c:pt idx="47">
                  <c:v>10.394833698877877</c:v>
                </c:pt>
                <c:pt idx="48">
                  <c:v>9.7189741327521517</c:v>
                </c:pt>
                <c:pt idx="49">
                  <c:v>8.6389052900458765</c:v>
                </c:pt>
                <c:pt idx="50">
                  <c:v>7.2159226274913468</c:v>
                </c:pt>
                <c:pt idx="51">
                  <c:v>5.5515330676397516</c:v>
                </c:pt>
                <c:pt idx="52">
                  <c:v>4.0125911581759155</c:v>
                </c:pt>
                <c:pt idx="53">
                  <c:v>2.8843663702541082</c:v>
                </c:pt>
                <c:pt idx="54">
                  <c:v>2.1626121918560055</c:v>
                </c:pt>
                <c:pt idx="55">
                  <c:v>1.7582778939837518</c:v>
                </c:pt>
                <c:pt idx="56">
                  <c:v>1.0479469508973536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91-4853-99B0-2B9F6B9BF909}"/>
            </c:ext>
          </c:extLst>
        </c:ser>
        <c:ser>
          <c:idx val="2"/>
          <c:order val="1"/>
          <c:tx>
            <c:strRef>
              <c:f>IC計算!$L$11</c:f>
              <c:strCache>
                <c:ptCount val="1"/>
                <c:pt idx="0">
                  <c:v>983</c:v>
                </c:pt>
              </c:strCache>
            </c:strRef>
          </c:tx>
          <c:spPr>
            <a:ln w="12700">
              <a:solidFill>
                <a:srgbClr val="CC00FF"/>
              </a:solidFill>
            </a:ln>
          </c:spPr>
          <c:marker>
            <c:symbol val="circle"/>
            <c:size val="2"/>
            <c:spPr>
              <a:solidFill>
                <a:srgbClr val="6600FF"/>
              </a:solidFill>
              <a:ln>
                <a:noFill/>
              </a:ln>
            </c:spPr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IC計算!$M$15:$M$104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6.1566028270362665</c:v>
                </c:pt>
                <c:pt idx="22">
                  <c:v>6.1566028270359681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7.1302472608816529</c:v>
                </c:pt>
                <c:pt idx="27">
                  <c:v>7.508575639944489</c:v>
                </c:pt>
                <c:pt idx="28">
                  <c:v>7.9098907802270944</c:v>
                </c:pt>
                <c:pt idx="29">
                  <c:v>8.3278102673268535</c:v>
                </c:pt>
                <c:pt idx="30">
                  <c:v>8.760570403224925</c:v>
                </c:pt>
                <c:pt idx="31">
                  <c:v>9.0934063331786312</c:v>
                </c:pt>
                <c:pt idx="32">
                  <c:v>9.5221720541929393</c:v>
                </c:pt>
                <c:pt idx="33">
                  <c:v>9.9955609179126199</c:v>
                </c:pt>
                <c:pt idx="34">
                  <c:v>10.445658568069483</c:v>
                </c:pt>
                <c:pt idx="35">
                  <c:v>10.860289893285524</c:v>
                </c:pt>
                <c:pt idx="37">
                  <c:v>10.891652978840922</c:v>
                </c:pt>
                <c:pt idx="38">
                  <c:v>10.931921927801636</c:v>
                </c:pt>
                <c:pt idx="39">
                  <c:v>10.984216601890552</c:v>
                </c:pt>
                <c:pt idx="40">
                  <c:v>11.002603236898572</c:v>
                </c:pt>
                <c:pt idx="41">
                  <c:v>11.05741398078932</c:v>
                </c:pt>
                <c:pt idx="42">
                  <c:v>11.078367029906744</c:v>
                </c:pt>
                <c:pt idx="43">
                  <c:v>11.131487072468836</c:v>
                </c:pt>
                <c:pt idx="44">
                  <c:v>11.261200237630561</c:v>
                </c:pt>
                <c:pt idx="45">
                  <c:v>11.271594361823745</c:v>
                </c:pt>
                <c:pt idx="46">
                  <c:v>11.286586950993106</c:v>
                </c:pt>
                <c:pt idx="47">
                  <c:v>11.337510118325634</c:v>
                </c:pt>
                <c:pt idx="48">
                  <c:v>11.308890505214187</c:v>
                </c:pt>
                <c:pt idx="49">
                  <c:v>11.237053930107097</c:v>
                </c:pt>
                <c:pt idx="50">
                  <c:v>11.144264962779069</c:v>
                </c:pt>
                <c:pt idx="51">
                  <c:v>10.816496086432547</c:v>
                </c:pt>
                <c:pt idx="52">
                  <c:v>10.394833698877877</c:v>
                </c:pt>
                <c:pt idx="53">
                  <c:v>9.7189741327521517</c:v>
                </c:pt>
                <c:pt idx="54">
                  <c:v>8.6389052900458765</c:v>
                </c:pt>
                <c:pt idx="55">
                  <c:v>7.2159226274913468</c:v>
                </c:pt>
                <c:pt idx="56">
                  <c:v>5.5515330676397516</c:v>
                </c:pt>
                <c:pt idx="57">
                  <c:v>4.0125911581759155</c:v>
                </c:pt>
                <c:pt idx="58">
                  <c:v>2.8843663702541082</c:v>
                </c:pt>
                <c:pt idx="59">
                  <c:v>2.1626121918560055</c:v>
                </c:pt>
                <c:pt idx="60">
                  <c:v>1.7582778939837518</c:v>
                </c:pt>
                <c:pt idx="61">
                  <c:v>1.0479469508973536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91-4853-99B0-2B9F6B9BF909}"/>
            </c:ext>
          </c:extLst>
        </c:ser>
        <c:ser>
          <c:idx val="0"/>
          <c:order val="2"/>
          <c:tx>
            <c:strRef>
              <c:f>IC計算!$O$11</c:f>
              <c:strCache>
                <c:ptCount val="1"/>
                <c:pt idx="0">
                  <c:v>988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IC計算!$P$15:$P$104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5.8838064650492328</c:v>
                </c:pt>
                <c:pt idx="22">
                  <c:v>6.1566028270362665</c:v>
                </c:pt>
                <c:pt idx="23">
                  <c:v>6.4537757331349326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7.508575639944489</c:v>
                </c:pt>
                <c:pt idx="28">
                  <c:v>7.9098907802272436</c:v>
                </c:pt>
                <c:pt idx="29">
                  <c:v>8.2351011492746977</c:v>
                </c:pt>
                <c:pt idx="30">
                  <c:v>8.3278102673268535</c:v>
                </c:pt>
                <c:pt idx="31">
                  <c:v>8.7605704032250742</c:v>
                </c:pt>
                <c:pt idx="32">
                  <c:v>9.3028513926760468</c:v>
                </c:pt>
                <c:pt idx="33">
                  <c:v>9.8059189971377094</c:v>
                </c:pt>
                <c:pt idx="34">
                  <c:v>10.246903965294329</c:v>
                </c:pt>
                <c:pt idx="35">
                  <c:v>10.64461881302439</c:v>
                </c:pt>
                <c:pt idx="37">
                  <c:v>10.69930590636687</c:v>
                </c:pt>
                <c:pt idx="38">
                  <c:v>10.70441259258503</c:v>
                </c:pt>
                <c:pt idx="39">
                  <c:v>10.770634612409332</c:v>
                </c:pt>
                <c:pt idx="40">
                  <c:v>10.770634612409332</c:v>
                </c:pt>
                <c:pt idx="41">
                  <c:v>10.860289893285524</c:v>
                </c:pt>
                <c:pt idx="42">
                  <c:v>10.891652978840922</c:v>
                </c:pt>
                <c:pt idx="43">
                  <c:v>10.931921927801636</c:v>
                </c:pt>
                <c:pt idx="44">
                  <c:v>10.984216601890552</c:v>
                </c:pt>
                <c:pt idx="45">
                  <c:v>11.002603236898572</c:v>
                </c:pt>
                <c:pt idx="46">
                  <c:v>11.05741398078932</c:v>
                </c:pt>
                <c:pt idx="47">
                  <c:v>11.078367029906744</c:v>
                </c:pt>
                <c:pt idx="48">
                  <c:v>11.131487072468836</c:v>
                </c:pt>
                <c:pt idx="49">
                  <c:v>11.261200237630561</c:v>
                </c:pt>
                <c:pt idx="50">
                  <c:v>11.271594361823745</c:v>
                </c:pt>
                <c:pt idx="51">
                  <c:v>11.286586950993106</c:v>
                </c:pt>
                <c:pt idx="52">
                  <c:v>11.337510118325634</c:v>
                </c:pt>
                <c:pt idx="53">
                  <c:v>11.308890505214187</c:v>
                </c:pt>
                <c:pt idx="54">
                  <c:v>11.237053930107097</c:v>
                </c:pt>
                <c:pt idx="55">
                  <c:v>11.144264962779069</c:v>
                </c:pt>
                <c:pt idx="56">
                  <c:v>10.816496086432547</c:v>
                </c:pt>
                <c:pt idx="57">
                  <c:v>10.394833698877877</c:v>
                </c:pt>
                <c:pt idx="58">
                  <c:v>9.7189741327521517</c:v>
                </c:pt>
                <c:pt idx="59">
                  <c:v>8.6389052900458765</c:v>
                </c:pt>
                <c:pt idx="60">
                  <c:v>7.2159226274913468</c:v>
                </c:pt>
                <c:pt idx="61">
                  <c:v>5.5515330676397516</c:v>
                </c:pt>
                <c:pt idx="62">
                  <c:v>4.0125911581759155</c:v>
                </c:pt>
                <c:pt idx="63">
                  <c:v>2.8843663702541082</c:v>
                </c:pt>
                <c:pt idx="64">
                  <c:v>2.1626121918560055</c:v>
                </c:pt>
                <c:pt idx="65">
                  <c:v>1.7582778939837518</c:v>
                </c:pt>
                <c:pt idx="66">
                  <c:v>1.0479469508973536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6C-416E-915D-BEE8F634FC45}"/>
            </c:ext>
          </c:extLst>
        </c:ser>
        <c:ser>
          <c:idx val="4"/>
          <c:order val="3"/>
          <c:tx>
            <c:strRef>
              <c:f>IC計算!$R$11</c:f>
              <c:strCache>
                <c:ptCount val="1"/>
                <c:pt idx="0">
                  <c:v>993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circle"/>
            <c:size val="2"/>
            <c:spPr>
              <a:solidFill>
                <a:schemeClr val="accent3"/>
              </a:solidFill>
              <a:ln>
                <a:noFill/>
              </a:ln>
            </c:spPr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IC計算!$S$15:$S$104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4.7931028239556923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5.2683707039146697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6.1566028270359681</c:v>
                </c:pt>
                <c:pt idx="23">
                  <c:v>6.1566028270362665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7.1302472608815037</c:v>
                </c:pt>
                <c:pt idx="28">
                  <c:v>7.508575639944489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8.760570403224925</c:v>
                </c:pt>
                <c:pt idx="32">
                  <c:v>9.1203302319539077</c:v>
                </c:pt>
                <c:pt idx="33">
                  <c:v>9.6305711591397944</c:v>
                </c:pt>
                <c:pt idx="34">
                  <c:v>10.118550262180015</c:v>
                </c:pt>
                <c:pt idx="35">
                  <c:v>10.457136755666674</c:v>
                </c:pt>
                <c:pt idx="37">
                  <c:v>10.513634654195634</c:v>
                </c:pt>
                <c:pt idx="38">
                  <c:v>10.513634654195634</c:v>
                </c:pt>
                <c:pt idx="39">
                  <c:v>10.585667060697908</c:v>
                </c:pt>
                <c:pt idx="40">
                  <c:v>10.605657714626256</c:v>
                </c:pt>
                <c:pt idx="41">
                  <c:v>10.64461881302439</c:v>
                </c:pt>
                <c:pt idx="42">
                  <c:v>10.69930590636687</c:v>
                </c:pt>
                <c:pt idx="43">
                  <c:v>10.70441259258503</c:v>
                </c:pt>
                <c:pt idx="44">
                  <c:v>10.770634612409332</c:v>
                </c:pt>
                <c:pt idx="45">
                  <c:v>10.770634612409332</c:v>
                </c:pt>
                <c:pt idx="46">
                  <c:v>10.860289893285524</c:v>
                </c:pt>
                <c:pt idx="47">
                  <c:v>10.891652978840922</c:v>
                </c:pt>
                <c:pt idx="48">
                  <c:v>10.931921927801636</c:v>
                </c:pt>
                <c:pt idx="49">
                  <c:v>10.984216601890552</c:v>
                </c:pt>
                <c:pt idx="50">
                  <c:v>11.002603236898572</c:v>
                </c:pt>
                <c:pt idx="51">
                  <c:v>11.05741398078932</c:v>
                </c:pt>
                <c:pt idx="52">
                  <c:v>11.078367029906744</c:v>
                </c:pt>
                <c:pt idx="53">
                  <c:v>11.131487072468836</c:v>
                </c:pt>
                <c:pt idx="54">
                  <c:v>11.261200237630561</c:v>
                </c:pt>
                <c:pt idx="55">
                  <c:v>11.271594361823745</c:v>
                </c:pt>
                <c:pt idx="56">
                  <c:v>11.286586950993106</c:v>
                </c:pt>
                <c:pt idx="57">
                  <c:v>11.337510118325634</c:v>
                </c:pt>
                <c:pt idx="58">
                  <c:v>11.308890505214187</c:v>
                </c:pt>
                <c:pt idx="59">
                  <c:v>11.237053930107097</c:v>
                </c:pt>
                <c:pt idx="60">
                  <c:v>11.144264962779069</c:v>
                </c:pt>
                <c:pt idx="61">
                  <c:v>10.816496086432547</c:v>
                </c:pt>
                <c:pt idx="62">
                  <c:v>10.394833698877877</c:v>
                </c:pt>
                <c:pt idx="63">
                  <c:v>9.7189741327521517</c:v>
                </c:pt>
                <c:pt idx="64">
                  <c:v>8.6389052900458765</c:v>
                </c:pt>
                <c:pt idx="65">
                  <c:v>7.2159226274913468</c:v>
                </c:pt>
                <c:pt idx="66">
                  <c:v>5.5515330676397516</c:v>
                </c:pt>
                <c:pt idx="67">
                  <c:v>4.0125911581759155</c:v>
                </c:pt>
                <c:pt idx="68">
                  <c:v>2.8843663702541082</c:v>
                </c:pt>
                <c:pt idx="69">
                  <c:v>2.1626121918560055</c:v>
                </c:pt>
                <c:pt idx="70">
                  <c:v>1.7582778939837518</c:v>
                </c:pt>
                <c:pt idx="71">
                  <c:v>1.0479469508973536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91-4853-99B0-2B9F6B9BF909}"/>
            </c:ext>
          </c:extLst>
        </c:ser>
        <c:ser>
          <c:idx val="5"/>
          <c:order val="4"/>
          <c:tx>
            <c:strRef>
              <c:f>IC計算!$U$11</c:f>
              <c:strCache>
                <c:ptCount val="1"/>
                <c:pt idx="0">
                  <c:v>998</c:v>
                </c:pt>
              </c:strCache>
            </c:strRef>
          </c:tx>
          <c:spPr>
            <a:ln w="12700">
              <a:solidFill>
                <a:srgbClr val="009900"/>
              </a:solidFill>
            </a:ln>
          </c:spPr>
          <c:marker>
            <c:symbol val="circle"/>
            <c:size val="2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IC計算!$V$15:$V$104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3.6131602587451255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5.1336269832747234</c:v>
                </c:pt>
                <c:pt idx="18">
                  <c:v>5.4184299335766042</c:v>
                </c:pt>
                <c:pt idx="19">
                  <c:v>5.4184299335766042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5.8838064650489343</c:v>
                </c:pt>
                <c:pt idx="23">
                  <c:v>6.1566028270362665</c:v>
                </c:pt>
                <c:pt idx="24">
                  <c:v>6.4537757331346342</c:v>
                </c:pt>
                <c:pt idx="25">
                  <c:v>6.6077100522104857</c:v>
                </c:pt>
                <c:pt idx="26">
                  <c:v>6.781092095955465</c:v>
                </c:pt>
                <c:pt idx="27">
                  <c:v>7.1302472608815037</c:v>
                </c:pt>
                <c:pt idx="28">
                  <c:v>7.5085756399446382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8.7227554933352422</c:v>
                </c:pt>
                <c:pt idx="32">
                  <c:v>8.9562758532819871</c:v>
                </c:pt>
                <c:pt idx="33">
                  <c:v>9.4738153005076633</c:v>
                </c:pt>
                <c:pt idx="34">
                  <c:v>9.9217719049830535</c:v>
                </c:pt>
                <c:pt idx="35">
                  <c:v>10.246903965294329</c:v>
                </c:pt>
                <c:pt idx="37">
                  <c:v>10.35512477028923</c:v>
                </c:pt>
                <c:pt idx="38">
                  <c:v>10.356379435009007</c:v>
                </c:pt>
                <c:pt idx="39">
                  <c:v>10.407614502126766</c:v>
                </c:pt>
                <c:pt idx="40">
                  <c:v>10.445658568069483</c:v>
                </c:pt>
                <c:pt idx="41">
                  <c:v>10.457136755666674</c:v>
                </c:pt>
                <c:pt idx="42">
                  <c:v>10.513634654195634</c:v>
                </c:pt>
                <c:pt idx="43">
                  <c:v>10.513634654195634</c:v>
                </c:pt>
                <c:pt idx="44">
                  <c:v>10.585667060697908</c:v>
                </c:pt>
                <c:pt idx="45">
                  <c:v>10.605657714626256</c:v>
                </c:pt>
                <c:pt idx="46">
                  <c:v>10.64461881302439</c:v>
                </c:pt>
                <c:pt idx="47">
                  <c:v>10.69930590636687</c:v>
                </c:pt>
                <c:pt idx="48">
                  <c:v>10.70441259258503</c:v>
                </c:pt>
                <c:pt idx="49">
                  <c:v>10.770634612409332</c:v>
                </c:pt>
                <c:pt idx="50">
                  <c:v>10.770634612409332</c:v>
                </c:pt>
                <c:pt idx="51">
                  <c:v>10.860289893285524</c:v>
                </c:pt>
                <c:pt idx="52">
                  <c:v>10.891652978840922</c:v>
                </c:pt>
                <c:pt idx="53">
                  <c:v>10.931921927801636</c:v>
                </c:pt>
                <c:pt idx="54">
                  <c:v>10.984216601890552</c:v>
                </c:pt>
                <c:pt idx="55">
                  <c:v>11.002603236898572</c:v>
                </c:pt>
                <c:pt idx="56">
                  <c:v>11.05741398078932</c:v>
                </c:pt>
                <c:pt idx="57">
                  <c:v>11.078367029906744</c:v>
                </c:pt>
                <c:pt idx="58">
                  <c:v>11.131487072468836</c:v>
                </c:pt>
                <c:pt idx="59">
                  <c:v>11.261200237630561</c:v>
                </c:pt>
                <c:pt idx="60">
                  <c:v>11.271594361823745</c:v>
                </c:pt>
                <c:pt idx="61">
                  <c:v>11.286586950993106</c:v>
                </c:pt>
                <c:pt idx="62">
                  <c:v>11.337510118325634</c:v>
                </c:pt>
                <c:pt idx="63">
                  <c:v>11.308890505214187</c:v>
                </c:pt>
                <c:pt idx="64">
                  <c:v>11.237053930107097</c:v>
                </c:pt>
                <c:pt idx="65">
                  <c:v>11.144264962779069</c:v>
                </c:pt>
                <c:pt idx="66">
                  <c:v>10.816496086432547</c:v>
                </c:pt>
                <c:pt idx="67">
                  <c:v>10.394833698877877</c:v>
                </c:pt>
                <c:pt idx="68">
                  <c:v>9.7189741327521517</c:v>
                </c:pt>
                <c:pt idx="69">
                  <c:v>8.6389052900458765</c:v>
                </c:pt>
                <c:pt idx="70">
                  <c:v>7.2159226274913468</c:v>
                </c:pt>
                <c:pt idx="71">
                  <c:v>5.5515330676397516</c:v>
                </c:pt>
                <c:pt idx="72">
                  <c:v>4.0125911581759155</c:v>
                </c:pt>
                <c:pt idx="73">
                  <c:v>2.8843663702541082</c:v>
                </c:pt>
                <c:pt idx="74">
                  <c:v>2.1626121918560055</c:v>
                </c:pt>
                <c:pt idx="75">
                  <c:v>1.7582778939837518</c:v>
                </c:pt>
                <c:pt idx="76">
                  <c:v>1.0479469508973536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91-4853-99B0-2B9F6B9BF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61952"/>
        <c:axId val="41650432"/>
      </c:scatterChart>
      <c:valAx>
        <c:axId val="4165043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 baseline="0"/>
                  <a:t>⊿</a:t>
                </a:r>
                <a:r>
                  <a:rPr lang="en-US" altLang="ja-JP" baseline="0"/>
                  <a:t>E</a:t>
                </a:r>
                <a:r>
                  <a:rPr lang="ja-JP" altLang="en-US" baseline="0"/>
                  <a:t> </a:t>
                </a:r>
                <a:r>
                  <a:rPr lang="en-US" altLang="ja-JP" baseline="0"/>
                  <a:t>IC2[MeV]  </a:t>
                </a:r>
                <a:r>
                  <a:rPr lang="en-US" altLang="ja-JP"/>
                  <a:t> </a:t>
                </a:r>
                <a:r>
                  <a:rPr lang="ja-JP" altLang="en-US">
                    <a:solidFill>
                      <a:srgbClr val="FF0000"/>
                    </a:solidFill>
                  </a:rPr>
                  <a:t>⊿</a:t>
                </a:r>
                <a:r>
                  <a:rPr lang="en-US" altLang="ja-JP">
                    <a:solidFill>
                      <a:srgbClr val="FF0000"/>
                    </a:solidFill>
                  </a:rPr>
                  <a:t>Eclc</a:t>
                </a:r>
                <a:endParaRPr lang="ja-JP" altLang="en-US">
                  <a:solidFill>
                    <a:srgbClr val="FF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2463425925925926E-2"/>
              <c:y val="0.27605709876543211"/>
            </c:manualLayout>
          </c:layout>
          <c:overlay val="0"/>
        </c:title>
        <c:numFmt formatCode="0.0_ " sourceLinked="0"/>
        <c:majorTickMark val="cross"/>
        <c:minorTickMark val="in"/>
        <c:tickLblPos val="nextTo"/>
        <c:crossAx val="41661952"/>
        <c:crosses val="autoZero"/>
        <c:crossBetween val="midCat"/>
      </c:valAx>
      <c:valAx>
        <c:axId val="41661952"/>
        <c:scaling>
          <c:orientation val="minMax"/>
          <c:min val="70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Edeg [μm]</a:t>
                </a:r>
                <a:r>
                  <a:rPr lang="ja-JP" altLang="en-US"/>
                  <a:t>　</a:t>
                </a:r>
                <a:r>
                  <a:rPr lang="en-US" altLang="ja-JP">
                    <a:solidFill>
                      <a:srgbClr val="C00000"/>
                    </a:solidFill>
                  </a:rPr>
                  <a:t>Th0</a:t>
                </a:r>
              </a:p>
            </c:rich>
          </c:tx>
          <c:overlay val="0"/>
        </c:title>
        <c:numFmt formatCode="0_ " sourceLinked="0"/>
        <c:majorTickMark val="cross"/>
        <c:minorTickMark val="in"/>
        <c:tickLblPos val="nextTo"/>
        <c:spPr>
          <a:ln/>
        </c:spPr>
        <c:crossAx val="41650432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5236640418968531"/>
          <c:y val="0.16815289953976958"/>
          <c:w val="0.12024212962962963"/>
          <c:h val="0.2544077160493827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+mn-ea"/>
                <a:ea typeface="+mn-ea"/>
              </a:defRPr>
            </a:pPr>
            <a:r>
              <a:rPr lang="en-US" altLang="ja-JP"/>
              <a:t>IC2raw</a:t>
            </a:r>
          </a:p>
        </c:rich>
      </c:tx>
      <c:layout>
        <c:manualLayout>
          <c:xMode val="edge"/>
          <c:yMode val="edge"/>
          <c:x val="0.18784288194444446"/>
          <c:y val="2.5833888888888889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5491545138888888"/>
          <c:y val="4.406472222222222E-2"/>
          <c:w val="0.74539531250000002"/>
          <c:h val="0.80822191358024686"/>
        </c:manualLayout>
      </c:layout>
      <c:scatterChart>
        <c:scatterStyle val="smoothMarker"/>
        <c:varyColors val="0"/>
        <c:ser>
          <c:idx val="0"/>
          <c:order val="0"/>
          <c:tx>
            <c:v>IC2raw</c:v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IC解析!$AB$15:$AB$71</c:f>
                <c:numCache>
                  <c:formatCode>General</c:formatCode>
                  <c:ptCount val="57"/>
                  <c:pt idx="0">
                    <c:v>3.7139999999999998E-10</c:v>
                  </c:pt>
                  <c:pt idx="1">
                    <c:v>5.8930000000000002E-10</c:v>
                  </c:pt>
                  <c:pt idx="2">
                    <c:v>4.2780000000000001E-10</c:v>
                  </c:pt>
                  <c:pt idx="3">
                    <c:v>4.4520000000000002E-10</c:v>
                  </c:pt>
                  <c:pt idx="4">
                    <c:v>4.1169999999999998E-10</c:v>
                  </c:pt>
                  <c:pt idx="5">
                    <c:v>5.8409999999999998E-10</c:v>
                  </c:pt>
                  <c:pt idx="6">
                    <c:v>5.3470000000000003E-10</c:v>
                  </c:pt>
                  <c:pt idx="7">
                    <c:v>4.3340000000000001E-9</c:v>
                  </c:pt>
                  <c:pt idx="8">
                    <c:v>7.0860000000000001E-10</c:v>
                  </c:pt>
                  <c:pt idx="9">
                    <c:v>8.2949999999999998E-10</c:v>
                  </c:pt>
                  <c:pt idx="10">
                    <c:v>8.1089999999999996E-10</c:v>
                  </c:pt>
                  <c:pt idx="11">
                    <c:v>5.5530000000000002E-9</c:v>
                  </c:pt>
                  <c:pt idx="12">
                    <c:v>8.2090000000000003E-10</c:v>
                  </c:pt>
                  <c:pt idx="13">
                    <c:v>1.055E-9</c:v>
                  </c:pt>
                  <c:pt idx="14">
                    <c:v>5.7029999999999998E-10</c:v>
                  </c:pt>
                  <c:pt idx="15">
                    <c:v>1.0480000000000001E-9</c:v>
                  </c:pt>
                  <c:pt idx="16">
                    <c:v>7.7240000000000002E-9</c:v>
                  </c:pt>
                  <c:pt idx="17">
                    <c:v>1.092E-9</c:v>
                  </c:pt>
                  <c:pt idx="18">
                    <c:v>1.4990000000000001E-9</c:v>
                  </c:pt>
                  <c:pt idx="19">
                    <c:v>1.0709999999999999E-9</c:v>
                  </c:pt>
                  <c:pt idx="20">
                    <c:v>9.5160000000000006E-9</c:v>
                  </c:pt>
                  <c:pt idx="21">
                    <c:v>1.165E-9</c:v>
                  </c:pt>
                  <c:pt idx="22">
                    <c:v>1.312E-9</c:v>
                  </c:pt>
                  <c:pt idx="23">
                    <c:v>1.5529999999999999E-9</c:v>
                  </c:pt>
                  <c:pt idx="24">
                    <c:v>1.301E-9</c:v>
                  </c:pt>
                  <c:pt idx="25">
                    <c:v>1.064E-8</c:v>
                  </c:pt>
                  <c:pt idx="26">
                    <c:v>1.637E-9</c:v>
                  </c:pt>
                  <c:pt idx="27">
                    <c:v>1.5090000000000001E-9</c:v>
                  </c:pt>
                  <c:pt idx="28">
                    <c:v>4.4640000000000003E-9</c:v>
                  </c:pt>
                  <c:pt idx="29">
                    <c:v>8.0919999999999996E-10</c:v>
                  </c:pt>
                  <c:pt idx="30">
                    <c:v>3.3799999999999999E-9</c:v>
                  </c:pt>
                  <c:pt idx="31">
                    <c:v>4.7200000000000002E-10</c:v>
                  </c:pt>
                  <c:pt idx="32">
                    <c:v>5.7340000000000001E-10</c:v>
                  </c:pt>
                  <c:pt idx="33">
                    <c:v>2.69E-10</c:v>
                  </c:pt>
                  <c:pt idx="34">
                    <c:v>2.678E-10</c:v>
                  </c:pt>
                  <c:pt idx="35">
                    <c:v>2.8879999999999997E-10</c:v>
                  </c:pt>
                  <c:pt idx="36">
                    <c:v>1.2130000000000001E-10</c:v>
                  </c:pt>
                  <c:pt idx="37">
                    <c:v>1.966E-10</c:v>
                  </c:pt>
                </c:numCache>
              </c:numRef>
            </c:plus>
            <c:minus>
              <c:numRef>
                <c:f>IC解析!$AB$15:$AB$71</c:f>
                <c:numCache>
                  <c:formatCode>General</c:formatCode>
                  <c:ptCount val="57"/>
                  <c:pt idx="0">
                    <c:v>3.7139999999999998E-10</c:v>
                  </c:pt>
                  <c:pt idx="1">
                    <c:v>5.8930000000000002E-10</c:v>
                  </c:pt>
                  <c:pt idx="2">
                    <c:v>4.2780000000000001E-10</c:v>
                  </c:pt>
                  <c:pt idx="3">
                    <c:v>4.4520000000000002E-10</c:v>
                  </c:pt>
                  <c:pt idx="4">
                    <c:v>4.1169999999999998E-10</c:v>
                  </c:pt>
                  <c:pt idx="5">
                    <c:v>5.8409999999999998E-10</c:v>
                  </c:pt>
                  <c:pt idx="6">
                    <c:v>5.3470000000000003E-10</c:v>
                  </c:pt>
                  <c:pt idx="7">
                    <c:v>4.3340000000000001E-9</c:v>
                  </c:pt>
                  <c:pt idx="8">
                    <c:v>7.0860000000000001E-10</c:v>
                  </c:pt>
                  <c:pt idx="9">
                    <c:v>8.2949999999999998E-10</c:v>
                  </c:pt>
                  <c:pt idx="10">
                    <c:v>8.1089999999999996E-10</c:v>
                  </c:pt>
                  <c:pt idx="11">
                    <c:v>5.5530000000000002E-9</c:v>
                  </c:pt>
                  <c:pt idx="12">
                    <c:v>8.2090000000000003E-10</c:v>
                  </c:pt>
                  <c:pt idx="13">
                    <c:v>1.055E-9</c:v>
                  </c:pt>
                  <c:pt idx="14">
                    <c:v>5.7029999999999998E-10</c:v>
                  </c:pt>
                  <c:pt idx="15">
                    <c:v>1.0480000000000001E-9</c:v>
                  </c:pt>
                  <c:pt idx="16">
                    <c:v>7.7240000000000002E-9</c:v>
                  </c:pt>
                  <c:pt idx="17">
                    <c:v>1.092E-9</c:v>
                  </c:pt>
                  <c:pt idx="18">
                    <c:v>1.4990000000000001E-9</c:v>
                  </c:pt>
                  <c:pt idx="19">
                    <c:v>1.0709999999999999E-9</c:v>
                  </c:pt>
                  <c:pt idx="20">
                    <c:v>9.5160000000000006E-9</c:v>
                  </c:pt>
                  <c:pt idx="21">
                    <c:v>1.165E-9</c:v>
                  </c:pt>
                  <c:pt idx="22">
                    <c:v>1.312E-9</c:v>
                  </c:pt>
                  <c:pt idx="23">
                    <c:v>1.5529999999999999E-9</c:v>
                  </c:pt>
                  <c:pt idx="24">
                    <c:v>1.301E-9</c:v>
                  </c:pt>
                  <c:pt idx="25">
                    <c:v>1.064E-8</c:v>
                  </c:pt>
                  <c:pt idx="26">
                    <c:v>1.637E-9</c:v>
                  </c:pt>
                  <c:pt idx="27">
                    <c:v>1.5090000000000001E-9</c:v>
                  </c:pt>
                  <c:pt idx="28">
                    <c:v>4.4640000000000003E-9</c:v>
                  </c:pt>
                  <c:pt idx="29">
                    <c:v>8.0919999999999996E-10</c:v>
                  </c:pt>
                  <c:pt idx="30">
                    <c:v>3.3799999999999999E-9</c:v>
                  </c:pt>
                  <c:pt idx="31">
                    <c:v>4.7200000000000002E-10</c:v>
                  </c:pt>
                  <c:pt idx="32">
                    <c:v>5.7340000000000001E-10</c:v>
                  </c:pt>
                  <c:pt idx="33">
                    <c:v>2.69E-10</c:v>
                  </c:pt>
                  <c:pt idx="34">
                    <c:v>2.678E-10</c:v>
                  </c:pt>
                  <c:pt idx="35">
                    <c:v>2.8879999999999997E-10</c:v>
                  </c:pt>
                  <c:pt idx="36">
                    <c:v>1.2130000000000001E-10</c:v>
                  </c:pt>
                  <c:pt idx="37">
                    <c:v>1.966E-10</c:v>
                  </c:pt>
                </c:numCache>
              </c:numRef>
            </c:minus>
            <c:spPr>
              <a:ln w="19050">
                <a:solidFill>
                  <a:srgbClr val="0000FF"/>
                </a:solidFill>
              </a:ln>
              <a:effectLst/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IC解析!$AA$15:$AA$71</c:f>
              <c:numCache>
                <c:formatCode>0.00E+00</c:formatCode>
                <c:ptCount val="57"/>
                <c:pt idx="0">
                  <c:v>1.253E-8</c:v>
                </c:pt>
                <c:pt idx="1">
                  <c:v>1.318E-8</c:v>
                </c:pt>
                <c:pt idx="2">
                  <c:v>1.417E-8</c:v>
                </c:pt>
                <c:pt idx="3">
                  <c:v>1.475E-8</c:v>
                </c:pt>
                <c:pt idx="4">
                  <c:v>1.5390000000000001E-8</c:v>
                </c:pt>
                <c:pt idx="5">
                  <c:v>1.583E-8</c:v>
                </c:pt>
                <c:pt idx="6">
                  <c:v>1.6820000000000001E-8</c:v>
                </c:pt>
                <c:pt idx="7">
                  <c:v>1.6009999999999999E-8</c:v>
                </c:pt>
                <c:pt idx="8">
                  <c:v>1.8760000000000001E-8</c:v>
                </c:pt>
                <c:pt idx="9">
                  <c:v>2.0619999999999999E-8</c:v>
                </c:pt>
                <c:pt idx="10">
                  <c:v>2.098E-8</c:v>
                </c:pt>
                <c:pt idx="11">
                  <c:v>2.0590000000000001E-8</c:v>
                </c:pt>
                <c:pt idx="12">
                  <c:v>2.3709999999999999E-8</c:v>
                </c:pt>
                <c:pt idx="13">
                  <c:v>2.578E-8</c:v>
                </c:pt>
                <c:pt idx="14">
                  <c:v>2.735E-8</c:v>
                </c:pt>
                <c:pt idx="15">
                  <c:v>2.899E-8</c:v>
                </c:pt>
                <c:pt idx="16">
                  <c:v>2.7450000000000001E-8</c:v>
                </c:pt>
                <c:pt idx="17">
                  <c:v>3.0729999999999998E-8</c:v>
                </c:pt>
                <c:pt idx="18">
                  <c:v>3.1200000000000001E-8</c:v>
                </c:pt>
                <c:pt idx="19">
                  <c:v>3.3710000000000002E-8</c:v>
                </c:pt>
                <c:pt idx="20">
                  <c:v>3.2880000000000001E-8</c:v>
                </c:pt>
                <c:pt idx="21">
                  <c:v>3.8080000000000001E-8</c:v>
                </c:pt>
                <c:pt idx="22">
                  <c:v>3.812E-8</c:v>
                </c:pt>
                <c:pt idx="23">
                  <c:v>3.8910000000000002E-8</c:v>
                </c:pt>
                <c:pt idx="24">
                  <c:v>3.9739999999999997E-8</c:v>
                </c:pt>
                <c:pt idx="25">
                  <c:v>3.6729999999999999E-8</c:v>
                </c:pt>
                <c:pt idx="26">
                  <c:v>4.0410000000000003E-8</c:v>
                </c:pt>
                <c:pt idx="27">
                  <c:v>3.7319999999999999E-8</c:v>
                </c:pt>
                <c:pt idx="28">
                  <c:v>2.634E-8</c:v>
                </c:pt>
                <c:pt idx="29">
                  <c:v>2.0380000000000001E-8</c:v>
                </c:pt>
                <c:pt idx="30">
                  <c:v>1.1339999999999999E-8</c:v>
                </c:pt>
                <c:pt idx="31">
                  <c:v>7.8179999999999993E-9</c:v>
                </c:pt>
                <c:pt idx="32">
                  <c:v>2.555E-9</c:v>
                </c:pt>
                <c:pt idx="33">
                  <c:v>1.1410000000000001E-9</c:v>
                </c:pt>
                <c:pt idx="34">
                  <c:v>6.7490000000000002E-10</c:v>
                </c:pt>
                <c:pt idx="35">
                  <c:v>6.0720000000000003E-10</c:v>
                </c:pt>
                <c:pt idx="36">
                  <c:v>3.4540000000000002E-10</c:v>
                </c:pt>
                <c:pt idx="37">
                  <c:v>3.654E-10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E7-44C6-B2CB-08770F39A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47840"/>
        <c:axId val="42558208"/>
      </c:scatterChart>
      <c:scatterChart>
        <c:scatterStyle val="smoothMarker"/>
        <c:varyColors val="0"/>
        <c:ser>
          <c:idx val="1"/>
          <c:order val="1"/>
          <c:tx>
            <c:strRef>
              <c:f>IC計算!$I$11</c:f>
              <c:strCache>
                <c:ptCount val="1"/>
                <c:pt idx="0">
                  <c:v>978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IC計算!$J$15:$J$104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5.4184299335766042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5.8838064650489343</c:v>
                </c:pt>
                <c:pt idx="20">
                  <c:v>5.8838064650492328</c:v>
                </c:pt>
                <c:pt idx="21">
                  <c:v>6.1566028270362665</c:v>
                </c:pt>
                <c:pt idx="22">
                  <c:v>6.4537757331346342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7.508575639944489</c:v>
                </c:pt>
                <c:pt idx="27">
                  <c:v>7.9098907802272436</c:v>
                </c:pt>
                <c:pt idx="28">
                  <c:v>7.9098907802272436</c:v>
                </c:pt>
                <c:pt idx="29">
                  <c:v>8.3278102673268535</c:v>
                </c:pt>
                <c:pt idx="30">
                  <c:v>8.7605704032250742</c:v>
                </c:pt>
                <c:pt idx="31">
                  <c:v>9.3028513926760468</c:v>
                </c:pt>
                <c:pt idx="32">
                  <c:v>9.7227393692762121</c:v>
                </c:pt>
                <c:pt idx="33">
                  <c:v>10.173510331132782</c:v>
                </c:pt>
                <c:pt idx="34">
                  <c:v>10.605657714626256</c:v>
                </c:pt>
                <c:pt idx="35">
                  <c:v>11.05741398078932</c:v>
                </c:pt>
                <c:pt idx="37">
                  <c:v>11.078367029906744</c:v>
                </c:pt>
                <c:pt idx="38">
                  <c:v>11.131487072468836</c:v>
                </c:pt>
                <c:pt idx="39">
                  <c:v>11.261200237630561</c:v>
                </c:pt>
                <c:pt idx="40">
                  <c:v>11.271594361823745</c:v>
                </c:pt>
                <c:pt idx="41">
                  <c:v>11.286586950993106</c:v>
                </c:pt>
                <c:pt idx="42">
                  <c:v>11.337510118325634</c:v>
                </c:pt>
                <c:pt idx="43">
                  <c:v>11.308890505214187</c:v>
                </c:pt>
                <c:pt idx="44">
                  <c:v>11.237053930107097</c:v>
                </c:pt>
                <c:pt idx="45">
                  <c:v>11.144264962779069</c:v>
                </c:pt>
                <c:pt idx="46">
                  <c:v>10.816496086432547</c:v>
                </c:pt>
                <c:pt idx="47">
                  <c:v>10.394833698877877</c:v>
                </c:pt>
                <c:pt idx="48">
                  <c:v>9.7189741327521517</c:v>
                </c:pt>
                <c:pt idx="49">
                  <c:v>8.6389052900458765</c:v>
                </c:pt>
                <c:pt idx="50">
                  <c:v>7.2159226274913468</c:v>
                </c:pt>
                <c:pt idx="51">
                  <c:v>5.5515330676397516</c:v>
                </c:pt>
                <c:pt idx="52">
                  <c:v>4.0125911581759155</c:v>
                </c:pt>
                <c:pt idx="53">
                  <c:v>2.8843663702541082</c:v>
                </c:pt>
                <c:pt idx="54">
                  <c:v>2.1626121918560055</c:v>
                </c:pt>
                <c:pt idx="55">
                  <c:v>1.7582778939837518</c:v>
                </c:pt>
                <c:pt idx="56">
                  <c:v>1.0479469508973536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E7-44C6-B2CB-08770F39AE29}"/>
            </c:ext>
          </c:extLst>
        </c:ser>
        <c:ser>
          <c:idx val="2"/>
          <c:order val="2"/>
          <c:tx>
            <c:strRef>
              <c:f>IC計算!$L$11</c:f>
              <c:strCache>
                <c:ptCount val="1"/>
                <c:pt idx="0">
                  <c:v>983</c:v>
                </c:pt>
              </c:strCache>
            </c:strRef>
          </c:tx>
          <c:spPr>
            <a:ln w="12700">
              <a:solidFill>
                <a:srgbClr val="CC00FF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IC計算!$M$15:$M$104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6.1566028270362665</c:v>
                </c:pt>
                <c:pt idx="22">
                  <c:v>6.1566028270359681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7.1302472608816529</c:v>
                </c:pt>
                <c:pt idx="27">
                  <c:v>7.508575639944489</c:v>
                </c:pt>
                <c:pt idx="28">
                  <c:v>7.9098907802270944</c:v>
                </c:pt>
                <c:pt idx="29">
                  <c:v>8.3278102673268535</c:v>
                </c:pt>
                <c:pt idx="30">
                  <c:v>8.760570403224925</c:v>
                </c:pt>
                <c:pt idx="31">
                  <c:v>9.0934063331786312</c:v>
                </c:pt>
                <c:pt idx="32">
                  <c:v>9.5221720541929393</c:v>
                </c:pt>
                <c:pt idx="33">
                  <c:v>9.9955609179126199</c:v>
                </c:pt>
                <c:pt idx="34">
                  <c:v>10.445658568069483</c:v>
                </c:pt>
                <c:pt idx="35">
                  <c:v>10.860289893285524</c:v>
                </c:pt>
                <c:pt idx="37">
                  <c:v>10.891652978840922</c:v>
                </c:pt>
                <c:pt idx="38">
                  <c:v>10.931921927801636</c:v>
                </c:pt>
                <c:pt idx="39">
                  <c:v>10.984216601890552</c:v>
                </c:pt>
                <c:pt idx="40">
                  <c:v>11.002603236898572</c:v>
                </c:pt>
                <c:pt idx="41">
                  <c:v>11.05741398078932</c:v>
                </c:pt>
                <c:pt idx="42">
                  <c:v>11.078367029906744</c:v>
                </c:pt>
                <c:pt idx="43">
                  <c:v>11.131487072468836</c:v>
                </c:pt>
                <c:pt idx="44">
                  <c:v>11.261200237630561</c:v>
                </c:pt>
                <c:pt idx="45">
                  <c:v>11.271594361823745</c:v>
                </c:pt>
                <c:pt idx="46">
                  <c:v>11.286586950993106</c:v>
                </c:pt>
                <c:pt idx="47">
                  <c:v>11.337510118325634</c:v>
                </c:pt>
                <c:pt idx="48">
                  <c:v>11.308890505214187</c:v>
                </c:pt>
                <c:pt idx="49">
                  <c:v>11.237053930107097</c:v>
                </c:pt>
                <c:pt idx="50">
                  <c:v>11.144264962779069</c:v>
                </c:pt>
                <c:pt idx="51">
                  <c:v>10.816496086432547</c:v>
                </c:pt>
                <c:pt idx="52">
                  <c:v>10.394833698877877</c:v>
                </c:pt>
                <c:pt idx="53">
                  <c:v>9.7189741327521517</c:v>
                </c:pt>
                <c:pt idx="54">
                  <c:v>8.6389052900458765</c:v>
                </c:pt>
                <c:pt idx="55">
                  <c:v>7.2159226274913468</c:v>
                </c:pt>
                <c:pt idx="56">
                  <c:v>5.5515330676397516</c:v>
                </c:pt>
                <c:pt idx="57">
                  <c:v>4.0125911581759155</c:v>
                </c:pt>
                <c:pt idx="58">
                  <c:v>2.8843663702541082</c:v>
                </c:pt>
                <c:pt idx="59">
                  <c:v>2.1626121918560055</c:v>
                </c:pt>
                <c:pt idx="60">
                  <c:v>1.7582778939837518</c:v>
                </c:pt>
                <c:pt idx="61">
                  <c:v>1.0479469508973536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E7-44C6-B2CB-08770F39AE29}"/>
            </c:ext>
          </c:extLst>
        </c:ser>
        <c:ser>
          <c:idx val="3"/>
          <c:order val="3"/>
          <c:tx>
            <c:strRef>
              <c:f>IC計算!$O$11</c:f>
              <c:strCache>
                <c:ptCount val="1"/>
                <c:pt idx="0">
                  <c:v>988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IC計算!$P$15:$P$104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5.8838064650492328</c:v>
                </c:pt>
                <c:pt idx="22">
                  <c:v>6.1566028270362665</c:v>
                </c:pt>
                <c:pt idx="23">
                  <c:v>6.4537757331349326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7.508575639944489</c:v>
                </c:pt>
                <c:pt idx="28">
                  <c:v>7.9098907802272436</c:v>
                </c:pt>
                <c:pt idx="29">
                  <c:v>8.2351011492746977</c:v>
                </c:pt>
                <c:pt idx="30">
                  <c:v>8.3278102673268535</c:v>
                </c:pt>
                <c:pt idx="31">
                  <c:v>8.7605704032250742</c:v>
                </c:pt>
                <c:pt idx="32">
                  <c:v>9.3028513926760468</c:v>
                </c:pt>
                <c:pt idx="33">
                  <c:v>9.8059189971377094</c:v>
                </c:pt>
                <c:pt idx="34">
                  <c:v>10.246903965294329</c:v>
                </c:pt>
                <c:pt idx="35">
                  <c:v>10.64461881302439</c:v>
                </c:pt>
                <c:pt idx="37">
                  <c:v>10.69930590636687</c:v>
                </c:pt>
                <c:pt idx="38">
                  <c:v>10.70441259258503</c:v>
                </c:pt>
                <c:pt idx="39">
                  <c:v>10.770634612409332</c:v>
                </c:pt>
                <c:pt idx="40">
                  <c:v>10.770634612409332</c:v>
                </c:pt>
                <c:pt idx="41">
                  <c:v>10.860289893285524</c:v>
                </c:pt>
                <c:pt idx="42">
                  <c:v>10.891652978840922</c:v>
                </c:pt>
                <c:pt idx="43">
                  <c:v>10.931921927801636</c:v>
                </c:pt>
                <c:pt idx="44">
                  <c:v>10.984216601890552</c:v>
                </c:pt>
                <c:pt idx="45">
                  <c:v>11.002603236898572</c:v>
                </c:pt>
                <c:pt idx="46">
                  <c:v>11.05741398078932</c:v>
                </c:pt>
                <c:pt idx="47">
                  <c:v>11.078367029906744</c:v>
                </c:pt>
                <c:pt idx="48">
                  <c:v>11.131487072468836</c:v>
                </c:pt>
                <c:pt idx="49">
                  <c:v>11.261200237630561</c:v>
                </c:pt>
                <c:pt idx="50">
                  <c:v>11.271594361823745</c:v>
                </c:pt>
                <c:pt idx="51">
                  <c:v>11.286586950993106</c:v>
                </c:pt>
                <c:pt idx="52">
                  <c:v>11.337510118325634</c:v>
                </c:pt>
                <c:pt idx="53">
                  <c:v>11.308890505214187</c:v>
                </c:pt>
                <c:pt idx="54">
                  <c:v>11.237053930107097</c:v>
                </c:pt>
                <c:pt idx="55">
                  <c:v>11.144264962779069</c:v>
                </c:pt>
                <c:pt idx="56">
                  <c:v>10.816496086432547</c:v>
                </c:pt>
                <c:pt idx="57">
                  <c:v>10.394833698877877</c:v>
                </c:pt>
                <c:pt idx="58">
                  <c:v>9.7189741327521517</c:v>
                </c:pt>
                <c:pt idx="59">
                  <c:v>8.6389052900458765</c:v>
                </c:pt>
                <c:pt idx="60">
                  <c:v>7.2159226274913468</c:v>
                </c:pt>
                <c:pt idx="61">
                  <c:v>5.5515330676397516</c:v>
                </c:pt>
                <c:pt idx="62">
                  <c:v>4.0125911581759155</c:v>
                </c:pt>
                <c:pt idx="63">
                  <c:v>2.8843663702541082</c:v>
                </c:pt>
                <c:pt idx="64">
                  <c:v>2.1626121918560055</c:v>
                </c:pt>
                <c:pt idx="65">
                  <c:v>1.7582778939837518</c:v>
                </c:pt>
                <c:pt idx="66">
                  <c:v>1.0479469508973536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E7-44C6-B2CB-08770F39AE29}"/>
            </c:ext>
          </c:extLst>
        </c:ser>
        <c:ser>
          <c:idx val="4"/>
          <c:order val="4"/>
          <c:tx>
            <c:strRef>
              <c:f>IC計算!$R$11</c:f>
              <c:strCache>
                <c:ptCount val="1"/>
                <c:pt idx="0">
                  <c:v>993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IC計算!$S$15:$S$104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4.7931028239556923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5.2683707039146697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6.1566028270359681</c:v>
                </c:pt>
                <c:pt idx="23">
                  <c:v>6.1566028270362665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7.1302472608815037</c:v>
                </c:pt>
                <c:pt idx="28">
                  <c:v>7.508575639944489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8.760570403224925</c:v>
                </c:pt>
                <c:pt idx="32">
                  <c:v>9.1203302319539077</c:v>
                </c:pt>
                <c:pt idx="33">
                  <c:v>9.6305711591397944</c:v>
                </c:pt>
                <c:pt idx="34">
                  <c:v>10.118550262180015</c:v>
                </c:pt>
                <c:pt idx="35">
                  <c:v>10.457136755666674</c:v>
                </c:pt>
                <c:pt idx="37">
                  <c:v>10.513634654195634</c:v>
                </c:pt>
                <c:pt idx="38">
                  <c:v>10.513634654195634</c:v>
                </c:pt>
                <c:pt idx="39">
                  <c:v>10.585667060697908</c:v>
                </c:pt>
                <c:pt idx="40">
                  <c:v>10.605657714626256</c:v>
                </c:pt>
                <c:pt idx="41">
                  <c:v>10.64461881302439</c:v>
                </c:pt>
                <c:pt idx="42">
                  <c:v>10.69930590636687</c:v>
                </c:pt>
                <c:pt idx="43">
                  <c:v>10.70441259258503</c:v>
                </c:pt>
                <c:pt idx="44">
                  <c:v>10.770634612409332</c:v>
                </c:pt>
                <c:pt idx="45">
                  <c:v>10.770634612409332</c:v>
                </c:pt>
                <c:pt idx="46">
                  <c:v>10.860289893285524</c:v>
                </c:pt>
                <c:pt idx="47">
                  <c:v>10.891652978840922</c:v>
                </c:pt>
                <c:pt idx="48">
                  <c:v>10.931921927801636</c:v>
                </c:pt>
                <c:pt idx="49">
                  <c:v>10.984216601890552</c:v>
                </c:pt>
                <c:pt idx="50">
                  <c:v>11.002603236898572</c:v>
                </c:pt>
                <c:pt idx="51">
                  <c:v>11.05741398078932</c:v>
                </c:pt>
                <c:pt idx="52">
                  <c:v>11.078367029906744</c:v>
                </c:pt>
                <c:pt idx="53">
                  <c:v>11.131487072468836</c:v>
                </c:pt>
                <c:pt idx="54">
                  <c:v>11.261200237630561</c:v>
                </c:pt>
                <c:pt idx="55">
                  <c:v>11.271594361823745</c:v>
                </c:pt>
                <c:pt idx="56">
                  <c:v>11.286586950993106</c:v>
                </c:pt>
                <c:pt idx="57">
                  <c:v>11.337510118325634</c:v>
                </c:pt>
                <c:pt idx="58">
                  <c:v>11.308890505214187</c:v>
                </c:pt>
                <c:pt idx="59">
                  <c:v>11.237053930107097</c:v>
                </c:pt>
                <c:pt idx="60">
                  <c:v>11.144264962779069</c:v>
                </c:pt>
                <c:pt idx="61">
                  <c:v>10.816496086432547</c:v>
                </c:pt>
                <c:pt idx="62">
                  <c:v>10.394833698877877</c:v>
                </c:pt>
                <c:pt idx="63">
                  <c:v>9.7189741327521517</c:v>
                </c:pt>
                <c:pt idx="64">
                  <c:v>8.6389052900458765</c:v>
                </c:pt>
                <c:pt idx="65">
                  <c:v>7.2159226274913468</c:v>
                </c:pt>
                <c:pt idx="66">
                  <c:v>5.5515330676397516</c:v>
                </c:pt>
                <c:pt idx="67">
                  <c:v>4.0125911581759155</c:v>
                </c:pt>
                <c:pt idx="68">
                  <c:v>2.8843663702541082</c:v>
                </c:pt>
                <c:pt idx="69">
                  <c:v>2.1626121918560055</c:v>
                </c:pt>
                <c:pt idx="70">
                  <c:v>1.7582778939837518</c:v>
                </c:pt>
                <c:pt idx="71">
                  <c:v>1.0479469508973536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E7-44C6-B2CB-08770F39AE29}"/>
            </c:ext>
          </c:extLst>
        </c:ser>
        <c:ser>
          <c:idx val="5"/>
          <c:order val="5"/>
          <c:tx>
            <c:strRef>
              <c:f>IC計算!$U$11</c:f>
              <c:strCache>
                <c:ptCount val="1"/>
                <c:pt idx="0">
                  <c:v>998</c:v>
                </c:pt>
              </c:strCache>
            </c:strRef>
          </c:tx>
          <c:spPr>
            <a:ln w="12700">
              <a:solidFill>
                <a:srgbClr val="009900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IC計算!$V$15:$V$104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3.6131602587451255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5.1336269832747234</c:v>
                </c:pt>
                <c:pt idx="18">
                  <c:v>5.4184299335766042</c:v>
                </c:pt>
                <c:pt idx="19">
                  <c:v>5.4184299335766042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5.8838064650489343</c:v>
                </c:pt>
                <c:pt idx="23">
                  <c:v>6.1566028270362665</c:v>
                </c:pt>
                <c:pt idx="24">
                  <c:v>6.4537757331346342</c:v>
                </c:pt>
                <c:pt idx="25">
                  <c:v>6.6077100522104857</c:v>
                </c:pt>
                <c:pt idx="26">
                  <c:v>6.781092095955465</c:v>
                </c:pt>
                <c:pt idx="27">
                  <c:v>7.1302472608815037</c:v>
                </c:pt>
                <c:pt idx="28">
                  <c:v>7.5085756399446382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8.7227554933352422</c:v>
                </c:pt>
                <c:pt idx="32">
                  <c:v>8.9562758532819871</c:v>
                </c:pt>
                <c:pt idx="33">
                  <c:v>9.4738153005076633</c:v>
                </c:pt>
                <c:pt idx="34">
                  <c:v>9.9217719049830535</c:v>
                </c:pt>
                <c:pt idx="35">
                  <c:v>10.246903965294329</c:v>
                </c:pt>
                <c:pt idx="37">
                  <c:v>10.35512477028923</c:v>
                </c:pt>
                <c:pt idx="38">
                  <c:v>10.356379435009007</c:v>
                </c:pt>
                <c:pt idx="39">
                  <c:v>10.407614502126766</c:v>
                </c:pt>
                <c:pt idx="40">
                  <c:v>10.445658568069483</c:v>
                </c:pt>
                <c:pt idx="41">
                  <c:v>10.457136755666674</c:v>
                </c:pt>
                <c:pt idx="42">
                  <c:v>10.513634654195634</c:v>
                </c:pt>
                <c:pt idx="43">
                  <c:v>10.513634654195634</c:v>
                </c:pt>
                <c:pt idx="44">
                  <c:v>10.585667060697908</c:v>
                </c:pt>
                <c:pt idx="45">
                  <c:v>10.605657714626256</c:v>
                </c:pt>
                <c:pt idx="46">
                  <c:v>10.64461881302439</c:v>
                </c:pt>
                <c:pt idx="47">
                  <c:v>10.69930590636687</c:v>
                </c:pt>
                <c:pt idx="48">
                  <c:v>10.70441259258503</c:v>
                </c:pt>
                <c:pt idx="49">
                  <c:v>10.770634612409332</c:v>
                </c:pt>
                <c:pt idx="50">
                  <c:v>10.770634612409332</c:v>
                </c:pt>
                <c:pt idx="51">
                  <c:v>10.860289893285524</c:v>
                </c:pt>
                <c:pt idx="52">
                  <c:v>10.891652978840922</c:v>
                </c:pt>
                <c:pt idx="53">
                  <c:v>10.931921927801636</c:v>
                </c:pt>
                <c:pt idx="54">
                  <c:v>10.984216601890552</c:v>
                </c:pt>
                <c:pt idx="55">
                  <c:v>11.002603236898572</c:v>
                </c:pt>
                <c:pt idx="56">
                  <c:v>11.05741398078932</c:v>
                </c:pt>
                <c:pt idx="57">
                  <c:v>11.078367029906744</c:v>
                </c:pt>
                <c:pt idx="58">
                  <c:v>11.131487072468836</c:v>
                </c:pt>
                <c:pt idx="59">
                  <c:v>11.261200237630561</c:v>
                </c:pt>
                <c:pt idx="60">
                  <c:v>11.271594361823745</c:v>
                </c:pt>
                <c:pt idx="61">
                  <c:v>11.286586950993106</c:v>
                </c:pt>
                <c:pt idx="62">
                  <c:v>11.337510118325634</c:v>
                </c:pt>
                <c:pt idx="63">
                  <c:v>11.308890505214187</c:v>
                </c:pt>
                <c:pt idx="64">
                  <c:v>11.237053930107097</c:v>
                </c:pt>
                <c:pt idx="65">
                  <c:v>11.144264962779069</c:v>
                </c:pt>
                <c:pt idx="66">
                  <c:v>10.816496086432547</c:v>
                </c:pt>
                <c:pt idx="67">
                  <c:v>10.394833698877877</c:v>
                </c:pt>
                <c:pt idx="68">
                  <c:v>9.7189741327521517</c:v>
                </c:pt>
                <c:pt idx="69">
                  <c:v>8.6389052900458765</c:v>
                </c:pt>
                <c:pt idx="70">
                  <c:v>7.2159226274913468</c:v>
                </c:pt>
                <c:pt idx="71">
                  <c:v>5.5515330676397516</c:v>
                </c:pt>
                <c:pt idx="72">
                  <c:v>4.0125911581759155</c:v>
                </c:pt>
                <c:pt idx="73">
                  <c:v>2.8843663702541082</c:v>
                </c:pt>
                <c:pt idx="74">
                  <c:v>2.1626121918560055</c:v>
                </c:pt>
                <c:pt idx="75">
                  <c:v>1.7582778939837518</c:v>
                </c:pt>
                <c:pt idx="76">
                  <c:v>1.0479469508973536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E7-44C6-B2CB-08770F39A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70496"/>
        <c:axId val="42560128"/>
      </c:scatterChart>
      <c:valAx>
        <c:axId val="42547840"/>
        <c:scaling>
          <c:orientation val="minMax"/>
          <c:max val="1000"/>
          <c:min val="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Th0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39871226851851854"/>
              <c:y val="0.94203657407407404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558208"/>
        <c:crosses val="autoZero"/>
        <c:crossBetween val="midCat"/>
      </c:valAx>
      <c:valAx>
        <c:axId val="4255820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en-US" altLang="ja-JP" baseline="0">
                    <a:latin typeface="+mn-ea"/>
                    <a:ea typeface="+mn-ea"/>
                  </a:rPr>
                  <a:t>IC2 [A]</a:t>
                </a:r>
                <a:r>
                  <a:rPr lang="ja-JP" altLang="en-US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IC2raw</a:t>
                </a:r>
                <a:endParaRPr lang="ja-JP" altLang="en-US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1.8439236111111111E-2"/>
              <c:y val="0.32520472222222224"/>
            </c:manualLayout>
          </c:layout>
          <c:overlay val="0"/>
        </c:title>
        <c:numFmt formatCode="0.0E+0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547840"/>
        <c:crosses val="autoZero"/>
        <c:crossBetween val="midCat"/>
      </c:valAx>
      <c:valAx>
        <c:axId val="42560128"/>
        <c:scaling>
          <c:orientation val="minMax"/>
          <c:max val="13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r>
                  <a:rPr lang="ja-JP" altLang="en-US">
                    <a:solidFill>
                      <a:srgbClr val="C00000"/>
                    </a:solidFill>
                  </a:rPr>
                  <a:t>⊿Ｅ</a:t>
                </a:r>
                <a:r>
                  <a:rPr lang="en-US" altLang="ja-JP">
                    <a:solidFill>
                      <a:srgbClr val="C00000"/>
                    </a:solidFill>
                  </a:rPr>
                  <a:t>calc [MeV]</a:t>
                </a:r>
                <a:endParaRPr lang="ja-JP" altLang="en-US">
                  <a:solidFill>
                    <a:srgbClr val="C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5718159722222218"/>
              <c:y val="0.3113066666666666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2570496"/>
        <c:crosses val="max"/>
        <c:crossBetween val="midCat"/>
      </c:valAx>
      <c:valAx>
        <c:axId val="4257049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42560128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7364357638888891"/>
          <c:y val="0.13515388888888888"/>
          <c:w val="0.1407215277777778"/>
          <c:h val="0.2860746527777777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FFC000"/>
      </a:solidFill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IC解析!$BF$92</c:f>
          <c:strCache>
            <c:ptCount val="1"/>
            <c:pt idx="0">
              <c:v>IC2(raw_Ecal)</c:v>
            </c:pt>
          </c:strCache>
        </c:strRef>
      </c:tx>
      <c:layout>
        <c:manualLayout>
          <c:xMode val="edge"/>
          <c:yMode val="edge"/>
          <c:x val="0.20170185185185185"/>
          <c:y val="6.2350000000000001E-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52361111111112"/>
          <c:y val="3.877314814814814E-2"/>
          <c:w val="0.76208935185185178"/>
          <c:h val="0.78063000000000005"/>
        </c:manualLayout>
      </c:layout>
      <c:scatterChart>
        <c:scatterStyle val="smoothMarker"/>
        <c:varyColors val="0"/>
        <c:ser>
          <c:idx val="0"/>
          <c:order val="0"/>
          <c:tx>
            <c:v>IC2Edif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IC解析!$AR$15:$AR$71</c:f>
                <c:numCache>
                  <c:formatCode>General</c:formatCode>
                  <c:ptCount val="57"/>
                  <c:pt idx="0">
                    <c:v>0.11283907919322675</c:v>
                  </c:pt>
                  <c:pt idx="1">
                    <c:v>0.17904165150395404</c:v>
                  </c:pt>
                  <c:pt idx="2">
                    <c:v>0.1299745774875132</c:v>
                  </c:pt>
                  <c:pt idx="3">
                    <c:v>0.13526106100383564</c:v>
                  </c:pt>
                  <c:pt idx="4">
                    <c:v>0.12508306113045625</c:v>
                  </c:pt>
                  <c:pt idx="5">
                    <c:v>0.17746178286689215</c:v>
                  </c:pt>
                  <c:pt idx="6">
                    <c:v>0.16245303081480439</c:v>
                  </c:pt>
                  <c:pt idx="7">
                    <c:v>1.3167597448127215</c:v>
                  </c:pt>
                  <c:pt idx="8">
                    <c:v>0.21528748388885427</c:v>
                  </c:pt>
                  <c:pt idx="9">
                    <c:v>0.25201942970054281</c:v>
                  </c:pt>
                  <c:pt idx="10">
                    <c:v>0.24636836111412916</c:v>
                  </c:pt>
                  <c:pt idx="11">
                    <c:v>1.6871174118470333</c:v>
                  </c:pt>
                  <c:pt idx="12">
                    <c:v>0.24940657003155586</c:v>
                  </c:pt>
                  <c:pt idx="13">
                    <c:v>0.32053104078851435</c:v>
                  </c:pt>
                  <c:pt idx="14">
                    <c:v>0.17326905456084335</c:v>
                  </c:pt>
                  <c:pt idx="15">
                    <c:v>0.31840429454631569</c:v>
                  </c:pt>
                  <c:pt idx="16">
                    <c:v>2.3467125678203646</c:v>
                  </c:pt>
                  <c:pt idx="17">
                    <c:v>0.33177241378299305</c:v>
                  </c:pt>
                  <c:pt idx="18">
                    <c:v>0.45542751672225879</c:v>
                  </c:pt>
                  <c:pt idx="19">
                    <c:v>0.325392175056397</c:v>
                  </c:pt>
                  <c:pt idx="20">
                    <c:v>2.8911596058232254</c:v>
                  </c:pt>
                  <c:pt idx="21">
                    <c:v>0.3539513388802078</c:v>
                  </c:pt>
                  <c:pt idx="22">
                    <c:v>0.39861300996637994</c:v>
                  </c:pt>
                  <c:pt idx="23">
                    <c:v>0.47183384487636276</c:v>
                  </c:pt>
                  <c:pt idx="24">
                    <c:v>0.39527098015721057</c:v>
                  </c:pt>
                  <c:pt idx="25">
                    <c:v>3.2326542881419833</c:v>
                  </c:pt>
                  <c:pt idx="26">
                    <c:v>0.49735479978274688</c:v>
                  </c:pt>
                  <c:pt idx="27">
                    <c:v>0.45846572563968546</c:v>
                  </c:pt>
                  <c:pt idx="28">
                    <c:v>1.3562564607392684</c:v>
                  </c:pt>
                  <c:pt idx="29">
                    <c:v>0.24585186559816663</c:v>
                  </c:pt>
                  <c:pt idx="30">
                    <c:v>1.0269146140902166</c:v>
                  </c:pt>
                  <c:pt idx="31">
                    <c:v>0.14340346090253911</c:v>
                  </c:pt>
                  <c:pt idx="32">
                    <c:v>0.17421089932524561</c:v>
                  </c:pt>
                  <c:pt idx="33">
                    <c:v>8.1727819878777586E-2</c:v>
                  </c:pt>
                  <c:pt idx="34">
                    <c:v>8.1363234808686388E-2</c:v>
                  </c:pt>
                  <c:pt idx="35">
                    <c:v>8.7743473535282404E-2</c:v>
                  </c:pt>
                  <c:pt idx="36">
                    <c:v>3.6853474168385587E-2</c:v>
                  </c:pt>
                  <c:pt idx="37">
                    <c:v>5.9731187316608453E-2</c:v>
                  </c:pt>
                </c:numCache>
              </c:numRef>
            </c:plus>
            <c:minus>
              <c:numRef>
                <c:f>IC解析!$AR$15:$AR$71</c:f>
                <c:numCache>
                  <c:formatCode>General</c:formatCode>
                  <c:ptCount val="57"/>
                  <c:pt idx="0">
                    <c:v>0.11283907919322675</c:v>
                  </c:pt>
                  <c:pt idx="1">
                    <c:v>0.17904165150395404</c:v>
                  </c:pt>
                  <c:pt idx="2">
                    <c:v>0.1299745774875132</c:v>
                  </c:pt>
                  <c:pt idx="3">
                    <c:v>0.13526106100383564</c:v>
                  </c:pt>
                  <c:pt idx="4">
                    <c:v>0.12508306113045625</c:v>
                  </c:pt>
                  <c:pt idx="5">
                    <c:v>0.17746178286689215</c:v>
                  </c:pt>
                  <c:pt idx="6">
                    <c:v>0.16245303081480439</c:v>
                  </c:pt>
                  <c:pt idx="7">
                    <c:v>1.3167597448127215</c:v>
                  </c:pt>
                  <c:pt idx="8">
                    <c:v>0.21528748388885427</c:v>
                  </c:pt>
                  <c:pt idx="9">
                    <c:v>0.25201942970054281</c:v>
                  </c:pt>
                  <c:pt idx="10">
                    <c:v>0.24636836111412916</c:v>
                  </c:pt>
                  <c:pt idx="11">
                    <c:v>1.6871174118470333</c:v>
                  </c:pt>
                  <c:pt idx="12">
                    <c:v>0.24940657003155586</c:v>
                  </c:pt>
                  <c:pt idx="13">
                    <c:v>0.32053104078851435</c:v>
                  </c:pt>
                  <c:pt idx="14">
                    <c:v>0.17326905456084335</c:v>
                  </c:pt>
                  <c:pt idx="15">
                    <c:v>0.31840429454631569</c:v>
                  </c:pt>
                  <c:pt idx="16">
                    <c:v>2.3467125678203646</c:v>
                  </c:pt>
                  <c:pt idx="17">
                    <c:v>0.33177241378299305</c:v>
                  </c:pt>
                  <c:pt idx="18">
                    <c:v>0.45542751672225879</c:v>
                  </c:pt>
                  <c:pt idx="19">
                    <c:v>0.325392175056397</c:v>
                  </c:pt>
                  <c:pt idx="20">
                    <c:v>2.8911596058232254</c:v>
                  </c:pt>
                  <c:pt idx="21">
                    <c:v>0.3539513388802078</c:v>
                  </c:pt>
                  <c:pt idx="22">
                    <c:v>0.39861300996637994</c:v>
                  </c:pt>
                  <c:pt idx="23">
                    <c:v>0.47183384487636276</c:v>
                  </c:pt>
                  <c:pt idx="24">
                    <c:v>0.39527098015721057</c:v>
                  </c:pt>
                  <c:pt idx="25">
                    <c:v>3.2326542881419833</c:v>
                  </c:pt>
                  <c:pt idx="26">
                    <c:v>0.49735479978274688</c:v>
                  </c:pt>
                  <c:pt idx="27">
                    <c:v>0.45846572563968546</c:v>
                  </c:pt>
                  <c:pt idx="28">
                    <c:v>1.3562564607392684</c:v>
                  </c:pt>
                  <c:pt idx="29">
                    <c:v>0.24585186559816663</c:v>
                  </c:pt>
                  <c:pt idx="30">
                    <c:v>1.0269146140902166</c:v>
                  </c:pt>
                  <c:pt idx="31">
                    <c:v>0.14340346090253911</c:v>
                  </c:pt>
                  <c:pt idx="32">
                    <c:v>0.17421089932524561</c:v>
                  </c:pt>
                  <c:pt idx="33">
                    <c:v>8.1727819878777586E-2</c:v>
                  </c:pt>
                  <c:pt idx="34">
                    <c:v>8.1363234808686388E-2</c:v>
                  </c:pt>
                  <c:pt idx="35">
                    <c:v>8.7743473535282404E-2</c:v>
                  </c:pt>
                  <c:pt idx="36">
                    <c:v>3.6853474168385587E-2</c:v>
                  </c:pt>
                  <c:pt idx="37">
                    <c:v>5.9731187316608453E-2</c:v>
                  </c:pt>
                </c:numCache>
              </c:numRef>
            </c:minus>
            <c:spPr>
              <a:ln>
                <a:solidFill>
                  <a:srgbClr val="0000FF"/>
                </a:solidFill>
              </a:ln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IC解析!$AS$15:$AS$71</c:f>
              <c:numCache>
                <c:formatCode>0.00</c:formatCode>
                <c:ptCount val="57"/>
                <c:pt idx="0">
                  <c:v>-0.29607567236812171</c:v>
                </c:pt>
                <c:pt idx="1">
                  <c:v>-9.859209273538827E-2</c:v>
                </c:pt>
                <c:pt idx="2">
                  <c:v>9.8388193277256342E-2</c:v>
                </c:pt>
                <c:pt idx="3">
                  <c:v>4.3375446316021637E-2</c:v>
                </c:pt>
                <c:pt idx="4">
                  <c:v>0.2378208170307321</c:v>
                </c:pt>
                <c:pt idx="5">
                  <c:v>-5.6825882648393833E-2</c:v>
                </c:pt>
                <c:pt idx="6">
                  <c:v>0.10770167528258501</c:v>
                </c:pt>
                <c:pt idx="7">
                  <c:v>-0.38889922684014255</c:v>
                </c:pt>
                <c:pt idx="8">
                  <c:v>0.20369664059708636</c:v>
                </c:pt>
                <c:pt idx="9">
                  <c:v>0.49569095373500982</c:v>
                </c:pt>
                <c:pt idx="10">
                  <c:v>0.26522477441284664</c:v>
                </c:pt>
                <c:pt idx="11">
                  <c:v>-0.13875078263818086</c:v>
                </c:pt>
                <c:pt idx="12">
                  <c:v>0.34379386812631285</c:v>
                </c:pt>
                <c:pt idx="13">
                  <c:v>0.40273384594808448</c:v>
                </c:pt>
                <c:pt idx="14">
                  <c:v>0.19421034020405337</c:v>
                </c:pt>
                <c:pt idx="15">
                  <c:v>-7.8116138650412559E-2</c:v>
                </c:pt>
                <c:pt idx="16">
                  <c:v>-0.96391979903373048</c:v>
                </c:pt>
                <c:pt idx="17">
                  <c:v>-0.40014741001585286</c:v>
                </c:pt>
                <c:pt idx="18">
                  <c:v>-0.59018752085057891</c:v>
                </c:pt>
                <c:pt idx="19">
                  <c:v>-0.45693011867399136</c:v>
                </c:pt>
                <c:pt idx="20">
                  <c:v>-1.1059214485523317</c:v>
                </c:pt>
                <c:pt idx="21">
                  <c:v>0.12489003863536396</c:v>
                </c:pt>
                <c:pt idx="22">
                  <c:v>-1.7612399686246505E-3</c:v>
                </c:pt>
                <c:pt idx="23">
                  <c:v>7.5043275254763842E-2</c:v>
                </c:pt>
                <c:pt idx="24">
                  <c:v>0.11363262591999224</c:v>
                </c:pt>
                <c:pt idx="25">
                  <c:v>-1.0882460181586282</c:v>
                </c:pt>
                <c:pt idx="26">
                  <c:v>2.9814863454349805E-2</c:v>
                </c:pt>
                <c:pt idx="27">
                  <c:v>-0.80795916633934617</c:v>
                </c:pt>
                <c:pt idx="28">
                  <c:v>-0.84619364407521314</c:v>
                </c:pt>
                <c:pt idx="29">
                  <c:v>1.432721778277573</c:v>
                </c:pt>
                <c:pt idx="30">
                  <c:v>0.72435869119592833</c:v>
                </c:pt>
                <c:pt idx="31">
                  <c:v>1.3992787216010718</c:v>
                </c:pt>
                <c:pt idx="32">
                  <c:v>-0.19973063164058766</c:v>
                </c:pt>
                <c:pt idx="33">
                  <c:v>-0.62933337256471966</c:v>
                </c:pt>
                <c:pt idx="34">
                  <c:v>-0.7709442902059771</c:v>
                </c:pt>
                <c:pt idx="35">
                  <c:v>-0.79151296457695552</c:v>
                </c:pt>
                <c:pt idx="36">
                  <c:v>-0.87105327403518595</c:v>
                </c:pt>
                <c:pt idx="37">
                  <c:v>-0.8649768562003326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E7-4983-9BEE-B06946FE3DC8}"/>
            </c:ext>
          </c:extLst>
        </c:ser>
        <c:ser>
          <c:idx val="1"/>
          <c:order val="1"/>
          <c:tx>
            <c:strRef>
              <c:f>IC解析!$BP$12</c:f>
              <c:strCache>
                <c:ptCount val="1"/>
                <c:pt idx="0">
                  <c:v>978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IC解析!$BV$15:$BV$71</c:f>
              <c:numCache>
                <c:formatCode>0.0</c:formatCode>
                <c:ptCount val="57"/>
                <c:pt idx="0">
                  <c:v>-1.9857774535061608</c:v>
                </c:pt>
                <c:pt idx="1">
                  <c:v>-1.8140838015003742</c:v>
                </c:pt>
                <c:pt idx="2">
                  <c:v>-1.6977213837582485</c:v>
                </c:pt>
                <c:pt idx="3">
                  <c:v>-1.830952293912002</c:v>
                </c:pt>
                <c:pt idx="4">
                  <c:v>-1.6987503403246791</c:v>
                </c:pt>
                <c:pt idx="5">
                  <c:v>-1.9303564479251301</c:v>
                </c:pt>
                <c:pt idx="6">
                  <c:v>-1.7732556318977668</c:v>
                </c:pt>
                <c:pt idx="7">
                  <c:v>-2.2984754491211885</c:v>
                </c:pt>
                <c:pt idx="8">
                  <c:v>-1.9471400769740019</c:v>
                </c:pt>
                <c:pt idx="9">
                  <c:v>-1.6188345895853393</c:v>
                </c:pt>
                <c:pt idx="10">
                  <c:v>-1.7651813059971615</c:v>
                </c:pt>
                <c:pt idx="11">
                  <c:v>-2.4459299734811557</c:v>
                </c:pt>
                <c:pt idx="12">
                  <c:v>-1.9619230744110654</c:v>
                </c:pt>
                <c:pt idx="13">
                  <c:v>-2.3703155740585382</c:v>
                </c:pt>
                <c:pt idx="14">
                  <c:v>-2.4857702884029331</c:v>
                </c:pt>
                <c:pt idx="15">
                  <c:v>-2.9772826317344929</c:v>
                </c:pt>
                <c:pt idx="16">
                  <c:v>-3.7848492136176795</c:v>
                </c:pt>
                <c:pt idx="17">
                  <c:v>-2.8531923071249432</c:v>
                </c:pt>
                <c:pt idx="18">
                  <c:v>-3.4213822587409215</c:v>
                </c:pt>
                <c:pt idx="19">
                  <c:v>-3.3956485214989041</c:v>
                </c:pt>
                <c:pt idx="20">
                  <c:v>-4.0101374573929025</c:v>
                </c:pt>
                <c:pt idx="21">
                  <c:v>-3.3654828981376816</c:v>
                </c:pt>
                <c:pt idx="22">
                  <c:v>-3.0835713196493808</c:v>
                </c:pt>
                <c:pt idx="23">
                  <c:v>-3.2543437514529145</c:v>
                </c:pt>
                <c:pt idx="24">
                  <c:v>-2.9601593595739271</c:v>
                </c:pt>
                <c:pt idx="25">
                  <c:v>-0.59063597462916917</c:v>
                </c:pt>
                <c:pt idx="26">
                  <c:v>1.39408032273084</c:v>
                </c:pt>
                <c:pt idx="27">
                  <c:v>6.0315534300578886</c:v>
                </c:pt>
                <c:pt idx="28">
                  <c:v>4.7154096840232755</c:v>
                </c:pt>
                <c:pt idx="29">
                  <c:v>3.3000450137294064</c:v>
                </c:pt>
                <c:pt idx="30">
                  <c:v>0.91120510745451133</c:v>
                </c:pt>
                <c:pt idx="31">
                  <c:v>8.5203576423723525E-3</c:v>
                </c:pt>
                <c:pt idx="32">
                  <c:v>-1.3208577075724475</c:v>
                </c:pt>
                <c:pt idx="33">
                  <c:v>-1.6872597235076554</c:v>
                </c:pt>
                <c:pt idx="34">
                  <c:v>-1.8011504171696786</c:v>
                </c:pt>
                <c:pt idx="35">
                  <c:v>-1.8196039259672714</c:v>
                </c:pt>
                <c:pt idx="36">
                  <c:v>-1.8854132594518438</c:v>
                </c:pt>
                <c:pt idx="37">
                  <c:v>-1.8813573850341387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7-4983-9BEE-B06946FE3DC8}"/>
            </c:ext>
          </c:extLst>
        </c:ser>
        <c:ser>
          <c:idx val="2"/>
          <c:order val="2"/>
          <c:tx>
            <c:strRef>
              <c:f>IC解析!$BQ$12</c:f>
              <c:strCache>
                <c:ptCount val="1"/>
                <c:pt idx="0">
                  <c:v>983</c:v>
                </c:pt>
              </c:strCache>
            </c:strRef>
          </c:tx>
          <c:spPr>
            <a:ln w="12700">
              <a:solidFill>
                <a:srgbClr val="CC00FF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IC解析!$BW$15:$BW$71</c:f>
              <c:numCache>
                <c:formatCode>0.0</c:formatCode>
                <c:ptCount val="57"/>
                <c:pt idx="0">
                  <c:v>-1.1641725192785823</c:v>
                </c:pt>
                <c:pt idx="1">
                  <c:v>-0.96884150209434683</c:v>
                </c:pt>
                <c:pt idx="2">
                  <c:v>-0.82216860950193338</c:v>
                </c:pt>
                <c:pt idx="3">
                  <c:v>-0.94190797003330617</c:v>
                </c:pt>
                <c:pt idx="4">
                  <c:v>-0.79150554241714355</c:v>
                </c:pt>
                <c:pt idx="5">
                  <c:v>-0.99602861809967669</c:v>
                </c:pt>
                <c:pt idx="6">
                  <c:v>-0.7985409769221623</c:v>
                </c:pt>
                <c:pt idx="7">
                  <c:v>-1.3615811283200108</c:v>
                </c:pt>
                <c:pt idx="8">
                  <c:v>-0.92843473890602457</c:v>
                </c:pt>
                <c:pt idx="9">
                  <c:v>-0.51733097969830322</c:v>
                </c:pt>
                <c:pt idx="10">
                  <c:v>-0.63703890345766112</c:v>
                </c:pt>
                <c:pt idx="11">
                  <c:v>-1.3418274644222361</c:v>
                </c:pt>
                <c:pt idx="12">
                  <c:v>-0.75749397918870542</c:v>
                </c:pt>
                <c:pt idx="13">
                  <c:v>-1.0985797069100238</c:v>
                </c:pt>
                <c:pt idx="14">
                  <c:v>-1.1297753424994843</c:v>
                </c:pt>
                <c:pt idx="15">
                  <c:v>-1.1582500990537623</c:v>
                </c:pt>
                <c:pt idx="16">
                  <c:v>-2.0025762906890368</c:v>
                </c:pt>
                <c:pt idx="17">
                  <c:v>-1.312887532251505</c:v>
                </c:pt>
                <c:pt idx="18">
                  <c:v>-1.697658648696601</c:v>
                </c:pt>
                <c:pt idx="19">
                  <c:v>-1.6088199768727538</c:v>
                </c:pt>
                <c:pt idx="20">
                  <c:v>-2.2493343809867223</c:v>
                </c:pt>
                <c:pt idx="21">
                  <c:v>-1.445999890843801</c:v>
                </c:pt>
                <c:pt idx="22">
                  <c:v>-1.1175102627039895</c:v>
                </c:pt>
                <c:pt idx="23">
                  <c:v>-1.1987205327817492</c:v>
                </c:pt>
                <c:pt idx="24">
                  <c:v>-1.1742989140750595</c:v>
                </c:pt>
                <c:pt idx="25">
                  <c:v>-1.9551702840450975</c:v>
                </c:pt>
                <c:pt idx="26">
                  <c:v>-0.70420524230335957</c:v>
                </c:pt>
                <c:pt idx="27">
                  <c:v>2.1321980261462148</c:v>
                </c:pt>
                <c:pt idx="28">
                  <c:v>4.1403729975295711</c:v>
                </c:pt>
                <c:pt idx="29">
                  <c:v>4.4188645326785432</c:v>
                </c:pt>
                <c:pt idx="30">
                  <c:v>1.7011488610051202</c:v>
                </c:pt>
                <c:pt idx="31">
                  <c:v>0.67418992386538412</c:v>
                </c:pt>
                <c:pt idx="32">
                  <c:v>-0.83820594323440945</c:v>
                </c:pt>
                <c:pt idx="33">
                  <c:v>-1.2550511651449234</c:v>
                </c:pt>
                <c:pt idx="34">
                  <c:v>-1.3846213896752479</c:v>
                </c:pt>
                <c:pt idx="35">
                  <c:v>-1.4056154252842672</c:v>
                </c:pt>
                <c:pt idx="36">
                  <c:v>-1.4804848447391279</c:v>
                </c:pt>
                <c:pt idx="37">
                  <c:v>-1.4758705910009924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7-4983-9BEE-B06946FE3DC8}"/>
            </c:ext>
          </c:extLst>
        </c:ser>
        <c:ser>
          <c:idx val="3"/>
          <c:order val="3"/>
          <c:tx>
            <c:strRef>
              <c:f>IC解析!$BR$12</c:f>
              <c:strCache>
                <c:ptCount val="1"/>
                <c:pt idx="0">
                  <c:v>988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IC解析!$BX$15:$BX$71</c:f>
              <c:numCache>
                <c:formatCode>0.0</c:formatCode>
                <c:ptCount val="57"/>
                <c:pt idx="0">
                  <c:v>-0.32454338526809057</c:v>
                </c:pt>
                <c:pt idx="1">
                  <c:v>-0.12296736136777886</c:v>
                </c:pt>
                <c:pt idx="2">
                  <c:v>3.1713577704370888E-2</c:v>
                </c:pt>
                <c:pt idx="3">
                  <c:v>-8.4461306948235837E-2</c:v>
                </c:pt>
                <c:pt idx="4">
                  <c:v>7.0749697329228756E-2</c:v>
                </c:pt>
                <c:pt idx="5">
                  <c:v>-0.12661802432183888</c:v>
                </c:pt>
                <c:pt idx="6">
                  <c:v>8.1539841408872604E-2</c:v>
                </c:pt>
                <c:pt idx="7">
                  <c:v>-0.49149246601569319</c:v>
                </c:pt>
                <c:pt idx="8">
                  <c:v>-3.6731554491347573E-2</c:v>
                </c:pt>
                <c:pt idx="9">
                  <c:v>0.39624756009938622</c:v>
                </c:pt>
                <c:pt idx="10">
                  <c:v>0.28357762207827975</c:v>
                </c:pt>
                <c:pt idx="11">
                  <c:v>-0.20691651410573186</c:v>
                </c:pt>
                <c:pt idx="12">
                  <c:v>0.18327753843481265</c:v>
                </c:pt>
                <c:pt idx="13">
                  <c:v>0.18729066492254987</c:v>
                </c:pt>
                <c:pt idx="14">
                  <c:v>0.22031756903409949</c:v>
                </c:pt>
                <c:pt idx="15">
                  <c:v>-0.16551455829691619</c:v>
                </c:pt>
                <c:pt idx="16">
                  <c:v>-1.0234735706280134</c:v>
                </c:pt>
                <c:pt idx="17">
                  <c:v>-0.297898545971087</c:v>
                </c:pt>
                <c:pt idx="18">
                  <c:v>-0.46818879125436297</c:v>
                </c:pt>
                <c:pt idx="19">
                  <c:v>-0.36713458894690554</c:v>
                </c:pt>
                <c:pt idx="20">
                  <c:v>-1.088365569872165</c:v>
                </c:pt>
                <c:pt idx="21">
                  <c:v>-0.18270535468653115</c:v>
                </c:pt>
                <c:pt idx="22">
                  <c:v>0.13305134263627671</c:v>
                </c:pt>
                <c:pt idx="23">
                  <c:v>0.10459361144201829</c:v>
                </c:pt>
                <c:pt idx="24">
                  <c:v>0.19811001730504785</c:v>
                </c:pt>
                <c:pt idx="25">
                  <c:v>-0.94214763213184405</c:v>
                </c:pt>
                <c:pt idx="26">
                  <c:v>0.27718643031889378</c:v>
                </c:pt>
                <c:pt idx="27">
                  <c:v>-0.51501726080201315</c:v>
                </c:pt>
                <c:pt idx="28">
                  <c:v>-0.87412357195199686</c:v>
                </c:pt>
                <c:pt idx="29">
                  <c:v>1.5538629611235368</c:v>
                </c:pt>
                <c:pt idx="30">
                  <c:v>0.78743588008588028</c:v>
                </c:pt>
                <c:pt idx="31">
                  <c:v>1.4726208357766439</c:v>
                </c:pt>
                <c:pt idx="32">
                  <c:v>-8.8128449451803717E-2</c:v>
                </c:pt>
                <c:pt idx="33">
                  <c:v>-0.51830079804153972</c:v>
                </c:pt>
                <c:pt idx="34">
                  <c:v>-0.65201356446848591</c:v>
                </c:pt>
                <c:pt idx="35">
                  <c:v>-0.67367880885563891</c:v>
                </c:pt>
                <c:pt idx="36">
                  <c:v>-0.75094190871038891</c:v>
                </c:pt>
                <c:pt idx="37">
                  <c:v>-0.7461801308053303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7-4983-9BEE-B06946FE3DC8}"/>
            </c:ext>
          </c:extLst>
        </c:ser>
        <c:ser>
          <c:idx val="4"/>
          <c:order val="4"/>
          <c:tx>
            <c:strRef>
              <c:f>IC解析!$BS$12</c:f>
              <c:strCache>
                <c:ptCount val="1"/>
                <c:pt idx="0">
                  <c:v>993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IC解析!$BY$15:$BY$71</c:f>
              <c:numCache>
                <c:formatCode>0.0</c:formatCode>
                <c:ptCount val="57"/>
                <c:pt idx="0">
                  <c:v>-0.29449538714044543</c:v>
                </c:pt>
                <c:pt idx="1">
                  <c:v>-0.10636834272606555</c:v>
                </c:pt>
                <c:pt idx="2">
                  <c:v>3.1066809796746142E-2</c:v>
                </c:pt>
                <c:pt idx="3">
                  <c:v>-9.2784377724781653E-2</c:v>
                </c:pt>
                <c:pt idx="4">
                  <c:v>5.2071081423771481E-2</c:v>
                </c:pt>
                <c:pt idx="5">
                  <c:v>-0.16070610477315572</c:v>
                </c:pt>
                <c:pt idx="6">
                  <c:v>2.447282151773944E-2</c:v>
                </c:pt>
                <c:pt idx="7">
                  <c:v>-0.52704080585839508</c:v>
                </c:pt>
                <c:pt idx="8">
                  <c:v>-0.11882800511674141</c:v>
                </c:pt>
                <c:pt idx="9">
                  <c:v>0.26704127930584232</c:v>
                </c:pt>
                <c:pt idx="10">
                  <c:v>0.13921463607663576</c:v>
                </c:pt>
                <c:pt idx="11">
                  <c:v>-0.33760149361961833</c:v>
                </c:pt>
                <c:pt idx="12">
                  <c:v>0.24024037485672789</c:v>
                </c:pt>
                <c:pt idx="13">
                  <c:v>-3.8772863642242861E-2</c:v>
                </c:pt>
                <c:pt idx="14">
                  <c:v>-4.4636168706636781E-2</c:v>
                </c:pt>
                <c:pt idx="15">
                  <c:v>-0.12600397823575271</c:v>
                </c:pt>
                <c:pt idx="16">
                  <c:v>-0.87587043773911422</c:v>
                </c:pt>
                <c:pt idx="17">
                  <c:v>-0.21273789305425161</c:v>
                </c:pt>
                <c:pt idx="18">
                  <c:v>-0.49379725299859878</c:v>
                </c:pt>
                <c:pt idx="19">
                  <c:v>-0.57374247588330896</c:v>
                </c:pt>
                <c:pt idx="20">
                  <c:v>-1.2770983673119876</c:v>
                </c:pt>
                <c:pt idx="21">
                  <c:v>-0.44750500591062625</c:v>
                </c:pt>
                <c:pt idx="22">
                  <c:v>-0.19900952878642286</c:v>
                </c:pt>
                <c:pt idx="23">
                  <c:v>-0.23899266604065517</c:v>
                </c:pt>
                <c:pt idx="24">
                  <c:v>-0.11736051011466131</c:v>
                </c:pt>
                <c:pt idx="25">
                  <c:v>-1.1269189741201675</c:v>
                </c:pt>
                <c:pt idx="26">
                  <c:v>-7.6319022001278825E-3</c:v>
                </c:pt>
                <c:pt idx="27">
                  <c:v>-1.1099558570835235</c:v>
                </c:pt>
                <c:pt idx="28">
                  <c:v>-4.4441257158820928</c:v>
                </c:pt>
                <c:pt idx="29">
                  <c:v>-5.0993928819619789</c:v>
                </c:pt>
                <c:pt idx="30">
                  <c:v>-4.5397956506805972</c:v>
                </c:pt>
                <c:pt idx="31">
                  <c:v>-1.6322526583234309</c:v>
                </c:pt>
                <c:pt idx="32">
                  <c:v>0.13477413268389266</c:v>
                </c:pt>
                <c:pt idx="33">
                  <c:v>-0.26669748563218831</c:v>
                </c:pt>
                <c:pt idx="34">
                  <c:v>-0.39148905092673891</c:v>
                </c:pt>
                <c:pt idx="35">
                  <c:v>-0.41170880878388361</c:v>
                </c:pt>
                <c:pt idx="36">
                  <c:v>-0.48381698086071517</c:v>
                </c:pt>
                <c:pt idx="37">
                  <c:v>-0.47937290469479477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E7-4983-9BEE-B06946FE3DC8}"/>
            </c:ext>
          </c:extLst>
        </c:ser>
        <c:ser>
          <c:idx val="5"/>
          <c:order val="5"/>
          <c:tx>
            <c:strRef>
              <c:f>IC解析!$BT$12</c:f>
              <c:strCache>
                <c:ptCount val="1"/>
                <c:pt idx="0">
                  <c:v>998</c:v>
                </c:pt>
              </c:strCache>
            </c:strRef>
          </c:tx>
          <c:spPr>
            <a:ln w="12700">
              <a:solidFill>
                <a:srgbClr val="009900"/>
              </a:solidFill>
            </a:ln>
          </c:spPr>
          <c:marker>
            <c:symbol val="none"/>
          </c:marker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IC解析!$BZ$15:$BZ$71</c:f>
              <c:numCache>
                <c:formatCode>0.0</c:formatCode>
                <c:ptCount val="57"/>
                <c:pt idx="0">
                  <c:v>-0.99518239137608866</c:v>
                </c:pt>
                <c:pt idx="1">
                  <c:v>-0.83216302533435815</c:v>
                </c:pt>
                <c:pt idx="2">
                  <c:v>-0.72692374778035518</c:v>
                </c:pt>
                <c:pt idx="3">
                  <c:v>-0.86510569873917609</c:v>
                </c:pt>
                <c:pt idx="4">
                  <c:v>-0.73958283629486576</c:v>
                </c:pt>
                <c:pt idx="5">
                  <c:v>-0.98112769814628376</c:v>
                </c:pt>
                <c:pt idx="6">
                  <c:v>-0.83884777555897561</c:v>
                </c:pt>
                <c:pt idx="7">
                  <c:v>-1.350188533444967</c:v>
                </c:pt>
                <c:pt idx="8">
                  <c:v>-1.0288756343367629</c:v>
                </c:pt>
                <c:pt idx="9">
                  <c:v>-0.73095491621798736</c:v>
                </c:pt>
                <c:pt idx="10">
                  <c:v>-0.88707736285440131</c:v>
                </c:pt>
                <c:pt idx="11">
                  <c:v>-1.3383582474390936</c:v>
                </c:pt>
                <c:pt idx="12">
                  <c:v>-0.86708357198926489</c:v>
                </c:pt>
                <c:pt idx="13">
                  <c:v>-1.2175902603325808</c:v>
                </c:pt>
                <c:pt idx="14">
                  <c:v>-1.3129538050968153</c:v>
                </c:pt>
                <c:pt idx="15">
                  <c:v>-1.3801170457894836</c:v>
                </c:pt>
                <c:pt idx="16">
                  <c:v>-2.1373027060305896</c:v>
                </c:pt>
                <c:pt idx="17">
                  <c:v>-1.6184487620255821</c:v>
                </c:pt>
                <c:pt idx="18">
                  <c:v>-1.9197543034977356</c:v>
                </c:pt>
                <c:pt idx="19">
                  <c:v>-1.8713536123307737</c:v>
                </c:pt>
                <c:pt idx="20">
                  <c:v>-2.5545701632857707</c:v>
                </c:pt>
                <c:pt idx="21">
                  <c:v>-1.9346914006016345</c:v>
                </c:pt>
                <c:pt idx="22">
                  <c:v>-1.6676912231794887</c:v>
                </c:pt>
                <c:pt idx="23">
                  <c:v>-1.7693918551793058</c:v>
                </c:pt>
                <c:pt idx="24">
                  <c:v>-1.6740991533801424</c:v>
                </c:pt>
                <c:pt idx="25">
                  <c:v>-2.5515674865726634</c:v>
                </c:pt>
                <c:pt idx="26">
                  <c:v>-1.5654627802306234</c:v>
                </c:pt>
                <c:pt idx="27">
                  <c:v>-2.5155089082408271</c:v>
                </c:pt>
                <c:pt idx="28">
                  <c:v>-5.7461663667442275</c:v>
                </c:pt>
                <c:pt idx="29">
                  <c:v>-7.155939910494979</c:v>
                </c:pt>
                <c:pt idx="30">
                  <c:v>-9.2195758912197014</c:v>
                </c:pt>
                <c:pt idx="31">
                  <c:v>-8.9079002549547397</c:v>
                </c:pt>
                <c:pt idx="32">
                  <c:v>-3.7297161296984758</c:v>
                </c:pt>
                <c:pt idx="33">
                  <c:v>-0.55376652141491123</c:v>
                </c:pt>
                <c:pt idx="34">
                  <c:v>-0.66190324319778882</c:v>
                </c:pt>
                <c:pt idx="35">
                  <c:v>-0.67942444605115737</c:v>
                </c:pt>
                <c:pt idx="36">
                  <c:v>-0.74190896833228537</c:v>
                </c:pt>
                <c:pt idx="37">
                  <c:v>-0.73805800431238755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E7-4983-9BEE-B06946FE3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9744"/>
        <c:axId val="42641664"/>
      </c:scatterChart>
      <c:valAx>
        <c:axId val="42639744"/>
        <c:scaling>
          <c:orientation val="minMax"/>
          <c:max val="1000"/>
          <c:min val="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Th0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37248032407407405"/>
              <c:y val="0.69234222222222219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641664"/>
        <c:crossesAt val="-5"/>
        <c:crossBetween val="midCat"/>
      </c:valAx>
      <c:valAx>
        <c:axId val="42641664"/>
        <c:scaling>
          <c:orientation val="minMax"/>
          <c:max val="5"/>
          <c:min val="-5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en-US" altLang="ja-JP" baseline="0">
                    <a:latin typeface="+mn-ea"/>
                    <a:ea typeface="+mn-ea"/>
                  </a:rPr>
                  <a:t>IC2 </a:t>
                </a:r>
                <a:r>
                  <a:rPr lang="ja-JP" altLang="en-US" baseline="0">
                    <a:latin typeface="+mn-ea"/>
                    <a:ea typeface="+mn-ea"/>
                  </a:rPr>
                  <a:t>残差 </a:t>
                </a:r>
                <a:r>
                  <a:rPr lang="en-US" altLang="ja-JP" baseline="0">
                    <a:latin typeface="+mn-ea"/>
                    <a:ea typeface="+mn-ea"/>
                  </a:rPr>
                  <a:t>[MeV]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Ediff</a:t>
                </a:r>
                <a:endParaRPr lang="ja-JP" altLang="en-US">
                  <a:solidFill>
                    <a:srgbClr val="0000FF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9.5370370370370366E-3"/>
              <c:y val="0.12660555555555558"/>
            </c:manualLayout>
          </c:layout>
          <c:overlay val="0"/>
        </c:title>
        <c:numFmt formatCode="0_ 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639744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9458912037037041"/>
          <c:y val="0.13954277777777777"/>
          <c:w val="0.33805416666666666"/>
          <c:h val="0.22712916666666666"/>
        </c:manualLayout>
      </c:layout>
      <c:overlay val="1"/>
      <c:spPr>
        <a:noFill/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IC解析!$BF$92</c:f>
          <c:strCache>
            <c:ptCount val="1"/>
            <c:pt idx="0">
              <c:v>IC2(raw_Ecal)</c:v>
            </c:pt>
          </c:strCache>
        </c:strRef>
      </c:tx>
      <c:layout>
        <c:manualLayout>
          <c:xMode val="edge"/>
          <c:yMode val="edge"/>
          <c:x val="0.21430115740740741"/>
          <c:y val="1.1395833333333332E-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60300925925925"/>
          <c:y val="4.7592592592592596E-2"/>
          <c:w val="0.75200995370370372"/>
          <c:h val="0.80822191358024686"/>
        </c:manualLayout>
      </c:layout>
      <c:scatterChart>
        <c:scatterStyle val="smoothMarker"/>
        <c:varyColors val="0"/>
        <c:ser>
          <c:idx val="0"/>
          <c:order val="0"/>
          <c:tx>
            <c:v>IC2raw</c:v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IC解析!$AR$15:$AR$71</c:f>
                <c:numCache>
                  <c:formatCode>General</c:formatCode>
                  <c:ptCount val="57"/>
                  <c:pt idx="0">
                    <c:v>0.11283907919322675</c:v>
                  </c:pt>
                  <c:pt idx="1">
                    <c:v>0.17904165150395404</c:v>
                  </c:pt>
                  <c:pt idx="2">
                    <c:v>0.1299745774875132</c:v>
                  </c:pt>
                  <c:pt idx="3">
                    <c:v>0.13526106100383564</c:v>
                  </c:pt>
                  <c:pt idx="4">
                    <c:v>0.12508306113045625</c:v>
                  </c:pt>
                  <c:pt idx="5">
                    <c:v>0.17746178286689215</c:v>
                  </c:pt>
                  <c:pt idx="6">
                    <c:v>0.16245303081480439</c:v>
                  </c:pt>
                  <c:pt idx="7">
                    <c:v>1.3167597448127215</c:v>
                  </c:pt>
                  <c:pt idx="8">
                    <c:v>0.21528748388885427</c:v>
                  </c:pt>
                  <c:pt idx="9">
                    <c:v>0.25201942970054281</c:v>
                  </c:pt>
                  <c:pt idx="10">
                    <c:v>0.24636836111412916</c:v>
                  </c:pt>
                  <c:pt idx="11">
                    <c:v>1.6871174118470333</c:v>
                  </c:pt>
                  <c:pt idx="12">
                    <c:v>0.24940657003155586</c:v>
                  </c:pt>
                  <c:pt idx="13">
                    <c:v>0.32053104078851435</c:v>
                  </c:pt>
                  <c:pt idx="14">
                    <c:v>0.17326905456084335</c:v>
                  </c:pt>
                  <c:pt idx="15">
                    <c:v>0.31840429454631569</c:v>
                  </c:pt>
                  <c:pt idx="16">
                    <c:v>2.3467125678203646</c:v>
                  </c:pt>
                  <c:pt idx="17">
                    <c:v>0.33177241378299305</c:v>
                  </c:pt>
                  <c:pt idx="18">
                    <c:v>0.45542751672225879</c:v>
                  </c:pt>
                  <c:pt idx="19">
                    <c:v>0.325392175056397</c:v>
                  </c:pt>
                  <c:pt idx="20">
                    <c:v>2.8911596058232254</c:v>
                  </c:pt>
                  <c:pt idx="21">
                    <c:v>0.3539513388802078</c:v>
                  </c:pt>
                  <c:pt idx="22">
                    <c:v>0.39861300996637994</c:v>
                  </c:pt>
                  <c:pt idx="23">
                    <c:v>0.47183384487636276</c:v>
                  </c:pt>
                  <c:pt idx="24">
                    <c:v>0.39527098015721057</c:v>
                  </c:pt>
                  <c:pt idx="25">
                    <c:v>3.2326542881419833</c:v>
                  </c:pt>
                  <c:pt idx="26">
                    <c:v>0.49735479978274688</c:v>
                  </c:pt>
                  <c:pt idx="27">
                    <c:v>0.45846572563968546</c:v>
                  </c:pt>
                  <c:pt idx="28">
                    <c:v>1.3562564607392684</c:v>
                  </c:pt>
                  <c:pt idx="29">
                    <c:v>0.24585186559816663</c:v>
                  </c:pt>
                  <c:pt idx="30">
                    <c:v>1.0269146140902166</c:v>
                  </c:pt>
                  <c:pt idx="31">
                    <c:v>0.14340346090253911</c:v>
                  </c:pt>
                  <c:pt idx="32">
                    <c:v>0.17421089932524561</c:v>
                  </c:pt>
                  <c:pt idx="33">
                    <c:v>8.1727819878777586E-2</c:v>
                  </c:pt>
                  <c:pt idx="34">
                    <c:v>8.1363234808686388E-2</c:v>
                  </c:pt>
                  <c:pt idx="35">
                    <c:v>8.7743473535282404E-2</c:v>
                  </c:pt>
                  <c:pt idx="36">
                    <c:v>3.6853474168385587E-2</c:v>
                  </c:pt>
                  <c:pt idx="37">
                    <c:v>5.9731187316608453E-2</c:v>
                  </c:pt>
                </c:numCache>
              </c:numRef>
            </c:plus>
            <c:minus>
              <c:numRef>
                <c:f>IC解析!$AR$15:$AR$71</c:f>
                <c:numCache>
                  <c:formatCode>General</c:formatCode>
                  <c:ptCount val="57"/>
                  <c:pt idx="0">
                    <c:v>0.11283907919322675</c:v>
                  </c:pt>
                  <c:pt idx="1">
                    <c:v>0.17904165150395404</c:v>
                  </c:pt>
                  <c:pt idx="2">
                    <c:v>0.1299745774875132</c:v>
                  </c:pt>
                  <c:pt idx="3">
                    <c:v>0.13526106100383564</c:v>
                  </c:pt>
                  <c:pt idx="4">
                    <c:v>0.12508306113045625</c:v>
                  </c:pt>
                  <c:pt idx="5">
                    <c:v>0.17746178286689215</c:v>
                  </c:pt>
                  <c:pt idx="6">
                    <c:v>0.16245303081480439</c:v>
                  </c:pt>
                  <c:pt idx="7">
                    <c:v>1.3167597448127215</c:v>
                  </c:pt>
                  <c:pt idx="8">
                    <c:v>0.21528748388885427</c:v>
                  </c:pt>
                  <c:pt idx="9">
                    <c:v>0.25201942970054281</c:v>
                  </c:pt>
                  <c:pt idx="10">
                    <c:v>0.24636836111412916</c:v>
                  </c:pt>
                  <c:pt idx="11">
                    <c:v>1.6871174118470333</c:v>
                  </c:pt>
                  <c:pt idx="12">
                    <c:v>0.24940657003155586</c:v>
                  </c:pt>
                  <c:pt idx="13">
                    <c:v>0.32053104078851435</c:v>
                  </c:pt>
                  <c:pt idx="14">
                    <c:v>0.17326905456084335</c:v>
                  </c:pt>
                  <c:pt idx="15">
                    <c:v>0.31840429454631569</c:v>
                  </c:pt>
                  <c:pt idx="16">
                    <c:v>2.3467125678203646</c:v>
                  </c:pt>
                  <c:pt idx="17">
                    <c:v>0.33177241378299305</c:v>
                  </c:pt>
                  <c:pt idx="18">
                    <c:v>0.45542751672225879</c:v>
                  </c:pt>
                  <c:pt idx="19">
                    <c:v>0.325392175056397</c:v>
                  </c:pt>
                  <c:pt idx="20">
                    <c:v>2.8911596058232254</c:v>
                  </c:pt>
                  <c:pt idx="21">
                    <c:v>0.3539513388802078</c:v>
                  </c:pt>
                  <c:pt idx="22">
                    <c:v>0.39861300996637994</c:v>
                  </c:pt>
                  <c:pt idx="23">
                    <c:v>0.47183384487636276</c:v>
                  </c:pt>
                  <c:pt idx="24">
                    <c:v>0.39527098015721057</c:v>
                  </c:pt>
                  <c:pt idx="25">
                    <c:v>3.2326542881419833</c:v>
                  </c:pt>
                  <c:pt idx="26">
                    <c:v>0.49735479978274688</c:v>
                  </c:pt>
                  <c:pt idx="27">
                    <c:v>0.45846572563968546</c:v>
                  </c:pt>
                  <c:pt idx="28">
                    <c:v>1.3562564607392684</c:v>
                  </c:pt>
                  <c:pt idx="29">
                    <c:v>0.24585186559816663</c:v>
                  </c:pt>
                  <c:pt idx="30">
                    <c:v>1.0269146140902166</c:v>
                  </c:pt>
                  <c:pt idx="31">
                    <c:v>0.14340346090253911</c:v>
                  </c:pt>
                  <c:pt idx="32">
                    <c:v>0.17421089932524561</c:v>
                  </c:pt>
                  <c:pt idx="33">
                    <c:v>8.1727819878777586E-2</c:v>
                  </c:pt>
                  <c:pt idx="34">
                    <c:v>8.1363234808686388E-2</c:v>
                  </c:pt>
                  <c:pt idx="35">
                    <c:v>8.7743473535282404E-2</c:v>
                  </c:pt>
                  <c:pt idx="36">
                    <c:v>3.6853474168385587E-2</c:v>
                  </c:pt>
                  <c:pt idx="37">
                    <c:v>5.9731187316608453E-2</c:v>
                  </c:pt>
                </c:numCache>
              </c:numRef>
            </c:minus>
            <c:spPr>
              <a:ln w="19050">
                <a:solidFill>
                  <a:srgbClr val="0000FF"/>
                </a:solidFill>
              </a:ln>
              <a:effectLst/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IC解析!$AQ$15:$AQ$71</c:f>
              <c:numCache>
                <c:formatCode>0.00</c:formatCode>
                <c:ptCount val="57"/>
                <c:pt idx="0">
                  <c:v>2.830882763492522</c:v>
                </c:pt>
                <c:pt idx="1">
                  <c:v>3.0283663431252554</c:v>
                </c:pt>
                <c:pt idx="2">
                  <c:v>3.329149025950497</c:v>
                </c:pt>
                <c:pt idx="3">
                  <c:v>3.505365143161244</c:v>
                </c:pt>
                <c:pt idx="4">
                  <c:v>3.6998105138765514</c:v>
                </c:pt>
                <c:pt idx="5">
                  <c:v>3.8334917062433251</c:v>
                </c:pt>
                <c:pt idx="6">
                  <c:v>4.1342743890685663</c:v>
                </c:pt>
                <c:pt idx="7">
                  <c:v>3.8881794667570047</c:v>
                </c:pt>
                <c:pt idx="8">
                  <c:v>4.7236869190493413</c:v>
                </c:pt>
                <c:pt idx="9">
                  <c:v>5.2887937776907021</c:v>
                </c:pt>
                <c:pt idx="10">
                  <c:v>5.3981692987180629</c:v>
                </c:pt>
                <c:pt idx="11">
                  <c:v>5.2796791509384233</c:v>
                </c:pt>
                <c:pt idx="12">
                  <c:v>6.2276003331755456</c:v>
                </c:pt>
                <c:pt idx="13">
                  <c:v>6.8565095790828678</c:v>
                </c:pt>
                <c:pt idx="14">
                  <c:v>7.3335083791188556</c:v>
                </c:pt>
                <c:pt idx="15">
                  <c:v>7.831774641576831</c:v>
                </c:pt>
                <c:pt idx="16">
                  <c:v>7.363890468293123</c:v>
                </c:pt>
                <c:pt idx="17">
                  <c:v>8.3604229932090721</c:v>
                </c:pt>
                <c:pt idx="18">
                  <c:v>8.5032188123281269</c:v>
                </c:pt>
                <c:pt idx="19">
                  <c:v>9.2658092506022207</c:v>
                </c:pt>
                <c:pt idx="20">
                  <c:v>9.0136379104558078</c:v>
                </c:pt>
                <c:pt idx="21">
                  <c:v>10.593506547517681</c:v>
                </c:pt>
                <c:pt idx="22">
                  <c:v>10.605659383187385</c:v>
                </c:pt>
                <c:pt idx="23">
                  <c:v>10.845677887664095</c:v>
                </c:pt>
                <c:pt idx="24">
                  <c:v>11.097849227810507</c:v>
                </c:pt>
                <c:pt idx="25">
                  <c:v>10.183348343665077</c:v>
                </c:pt>
                <c:pt idx="26">
                  <c:v>11.301409225278094</c:v>
                </c:pt>
                <c:pt idx="27">
                  <c:v>10.362602669793253</c:v>
                </c:pt>
                <c:pt idx="28">
                  <c:v>7.0266492784587617</c:v>
                </c:pt>
                <c:pt idx="29">
                  <c:v>5.2158767636724628</c:v>
                </c:pt>
                <c:pt idx="30">
                  <c:v>2.4693359023187473</c:v>
                </c:pt>
                <c:pt idx="31">
                  <c:v>1.3992787216010718</c:v>
                </c:pt>
                <c:pt idx="32">
                  <c:v>-0.19973063164058766</c:v>
                </c:pt>
                <c:pt idx="33">
                  <c:v>-0.62933337256471966</c:v>
                </c:pt>
                <c:pt idx="34">
                  <c:v>-0.7709442902059771</c:v>
                </c:pt>
                <c:pt idx="35">
                  <c:v>-0.79151296457695552</c:v>
                </c:pt>
                <c:pt idx="36">
                  <c:v>-0.87105327403518595</c:v>
                </c:pt>
                <c:pt idx="37">
                  <c:v>-0.8649768562003326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78-4C2C-8AE8-870D356091AD}"/>
            </c:ext>
          </c:extLst>
        </c:ser>
        <c:ser>
          <c:idx val="1"/>
          <c:order val="1"/>
          <c:tx>
            <c:strRef>
              <c:f>IC計算!$I$11</c:f>
              <c:strCache>
                <c:ptCount val="1"/>
                <c:pt idx="0">
                  <c:v>978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IC計算!$J$15:$J$104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5.4184299335766042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5.8838064650489343</c:v>
                </c:pt>
                <c:pt idx="20">
                  <c:v>5.8838064650492328</c:v>
                </c:pt>
                <c:pt idx="21">
                  <c:v>6.1566028270362665</c:v>
                </c:pt>
                <c:pt idx="22">
                  <c:v>6.4537757331346342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7.508575639944489</c:v>
                </c:pt>
                <c:pt idx="27">
                  <c:v>7.9098907802272436</c:v>
                </c:pt>
                <c:pt idx="28">
                  <c:v>7.9098907802272436</c:v>
                </c:pt>
                <c:pt idx="29">
                  <c:v>8.3278102673268535</c:v>
                </c:pt>
                <c:pt idx="30">
                  <c:v>8.7605704032250742</c:v>
                </c:pt>
                <c:pt idx="31">
                  <c:v>9.3028513926760468</c:v>
                </c:pt>
                <c:pt idx="32">
                  <c:v>9.7227393692762121</c:v>
                </c:pt>
                <c:pt idx="33">
                  <c:v>10.173510331132782</c:v>
                </c:pt>
                <c:pt idx="34">
                  <c:v>10.605657714626256</c:v>
                </c:pt>
                <c:pt idx="35">
                  <c:v>11.05741398078932</c:v>
                </c:pt>
                <c:pt idx="37">
                  <c:v>11.078367029906744</c:v>
                </c:pt>
                <c:pt idx="38">
                  <c:v>11.131487072468836</c:v>
                </c:pt>
                <c:pt idx="39">
                  <c:v>11.261200237630561</c:v>
                </c:pt>
                <c:pt idx="40">
                  <c:v>11.271594361823745</c:v>
                </c:pt>
                <c:pt idx="41">
                  <c:v>11.286586950993106</c:v>
                </c:pt>
                <c:pt idx="42">
                  <c:v>11.337510118325634</c:v>
                </c:pt>
                <c:pt idx="43">
                  <c:v>11.308890505214187</c:v>
                </c:pt>
                <c:pt idx="44">
                  <c:v>11.237053930107097</c:v>
                </c:pt>
                <c:pt idx="45">
                  <c:v>11.144264962779069</c:v>
                </c:pt>
                <c:pt idx="46">
                  <c:v>10.816496086432547</c:v>
                </c:pt>
                <c:pt idx="47">
                  <c:v>10.394833698877877</c:v>
                </c:pt>
                <c:pt idx="48">
                  <c:v>9.7189741327521517</c:v>
                </c:pt>
                <c:pt idx="49">
                  <c:v>8.6389052900458765</c:v>
                </c:pt>
                <c:pt idx="50">
                  <c:v>7.2159226274913468</c:v>
                </c:pt>
                <c:pt idx="51">
                  <c:v>5.5515330676397516</c:v>
                </c:pt>
                <c:pt idx="52">
                  <c:v>4.0125911581759155</c:v>
                </c:pt>
                <c:pt idx="53">
                  <c:v>2.8843663702541082</c:v>
                </c:pt>
                <c:pt idx="54">
                  <c:v>2.1626121918560055</c:v>
                </c:pt>
                <c:pt idx="55">
                  <c:v>1.7582778939837518</c:v>
                </c:pt>
                <c:pt idx="56">
                  <c:v>1.0479469508973536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78-4C2C-8AE8-870D356091AD}"/>
            </c:ext>
          </c:extLst>
        </c:ser>
        <c:ser>
          <c:idx val="2"/>
          <c:order val="2"/>
          <c:tx>
            <c:strRef>
              <c:f>IC計算!$L$11</c:f>
              <c:strCache>
                <c:ptCount val="1"/>
                <c:pt idx="0">
                  <c:v>983</c:v>
                </c:pt>
              </c:strCache>
            </c:strRef>
          </c:tx>
          <c:spPr>
            <a:ln w="12700">
              <a:solidFill>
                <a:srgbClr val="CC00FF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IC計算!$M$15:$M$104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4.0265727137859813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5.6390757133033134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6.1566028270362665</c:v>
                </c:pt>
                <c:pt idx="22">
                  <c:v>6.1566028270359681</c:v>
                </c:pt>
                <c:pt idx="23">
                  <c:v>6.4537757331347834</c:v>
                </c:pt>
                <c:pt idx="24">
                  <c:v>6.781092095955465</c:v>
                </c:pt>
                <c:pt idx="25">
                  <c:v>7.1302472608815037</c:v>
                </c:pt>
                <c:pt idx="26">
                  <c:v>7.1302472608816529</c:v>
                </c:pt>
                <c:pt idx="27">
                  <c:v>7.508575639944489</c:v>
                </c:pt>
                <c:pt idx="28">
                  <c:v>7.9098907802270944</c:v>
                </c:pt>
                <c:pt idx="29">
                  <c:v>8.3278102673268535</c:v>
                </c:pt>
                <c:pt idx="30">
                  <c:v>8.760570403224925</c:v>
                </c:pt>
                <c:pt idx="31">
                  <c:v>9.0934063331786312</c:v>
                </c:pt>
                <c:pt idx="32">
                  <c:v>9.5221720541929393</c:v>
                </c:pt>
                <c:pt idx="33">
                  <c:v>9.9955609179126199</c:v>
                </c:pt>
                <c:pt idx="34">
                  <c:v>10.445658568069483</c:v>
                </c:pt>
                <c:pt idx="35">
                  <c:v>10.860289893285524</c:v>
                </c:pt>
                <c:pt idx="37">
                  <c:v>10.891652978840922</c:v>
                </c:pt>
                <c:pt idx="38">
                  <c:v>10.931921927801636</c:v>
                </c:pt>
                <c:pt idx="39">
                  <c:v>10.984216601890552</c:v>
                </c:pt>
                <c:pt idx="40">
                  <c:v>11.002603236898572</c:v>
                </c:pt>
                <c:pt idx="41">
                  <c:v>11.05741398078932</c:v>
                </c:pt>
                <c:pt idx="42">
                  <c:v>11.078367029906744</c:v>
                </c:pt>
                <c:pt idx="43">
                  <c:v>11.131487072468836</c:v>
                </c:pt>
                <c:pt idx="44">
                  <c:v>11.261200237630561</c:v>
                </c:pt>
                <c:pt idx="45">
                  <c:v>11.271594361823745</c:v>
                </c:pt>
                <c:pt idx="46">
                  <c:v>11.286586950993106</c:v>
                </c:pt>
                <c:pt idx="47">
                  <c:v>11.337510118325634</c:v>
                </c:pt>
                <c:pt idx="48">
                  <c:v>11.308890505214187</c:v>
                </c:pt>
                <c:pt idx="49">
                  <c:v>11.237053930107097</c:v>
                </c:pt>
                <c:pt idx="50">
                  <c:v>11.144264962779069</c:v>
                </c:pt>
                <c:pt idx="51">
                  <c:v>10.816496086432547</c:v>
                </c:pt>
                <c:pt idx="52">
                  <c:v>10.394833698877877</c:v>
                </c:pt>
                <c:pt idx="53">
                  <c:v>9.7189741327521517</c:v>
                </c:pt>
                <c:pt idx="54">
                  <c:v>8.6389052900458765</c:v>
                </c:pt>
                <c:pt idx="55">
                  <c:v>7.2159226274913468</c:v>
                </c:pt>
                <c:pt idx="56">
                  <c:v>5.5515330676397516</c:v>
                </c:pt>
                <c:pt idx="57">
                  <c:v>4.0125911581759155</c:v>
                </c:pt>
                <c:pt idx="58">
                  <c:v>2.8843663702541082</c:v>
                </c:pt>
                <c:pt idx="59">
                  <c:v>2.1626121918560055</c:v>
                </c:pt>
                <c:pt idx="60">
                  <c:v>1.7582778939837518</c:v>
                </c:pt>
                <c:pt idx="61">
                  <c:v>1.0479469508973536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78-4C2C-8AE8-870D356091AD}"/>
            </c:ext>
          </c:extLst>
        </c:ser>
        <c:ser>
          <c:idx val="3"/>
          <c:order val="3"/>
          <c:tx>
            <c:strRef>
              <c:f>IC計算!$O$11</c:f>
              <c:strCache>
                <c:ptCount val="1"/>
                <c:pt idx="0">
                  <c:v>988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IC計算!$P$15:$P$104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3.4619896968458193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5.4184299335766042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5.8838064650489343</c:v>
                </c:pt>
                <c:pt idx="21">
                  <c:v>5.8838064650492328</c:v>
                </c:pt>
                <c:pt idx="22">
                  <c:v>6.1566028270362665</c:v>
                </c:pt>
                <c:pt idx="23">
                  <c:v>6.4537757331349326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7.508575639944489</c:v>
                </c:pt>
                <c:pt idx="28">
                  <c:v>7.9098907802272436</c:v>
                </c:pt>
                <c:pt idx="29">
                  <c:v>8.2351011492746977</c:v>
                </c:pt>
                <c:pt idx="30">
                  <c:v>8.3278102673268535</c:v>
                </c:pt>
                <c:pt idx="31">
                  <c:v>8.7605704032250742</c:v>
                </c:pt>
                <c:pt idx="32">
                  <c:v>9.3028513926760468</c:v>
                </c:pt>
                <c:pt idx="33">
                  <c:v>9.8059189971377094</c:v>
                </c:pt>
                <c:pt idx="34">
                  <c:v>10.246903965294329</c:v>
                </c:pt>
                <c:pt idx="35">
                  <c:v>10.64461881302439</c:v>
                </c:pt>
                <c:pt idx="37">
                  <c:v>10.69930590636687</c:v>
                </c:pt>
                <c:pt idx="38">
                  <c:v>10.70441259258503</c:v>
                </c:pt>
                <c:pt idx="39">
                  <c:v>10.770634612409332</c:v>
                </c:pt>
                <c:pt idx="40">
                  <c:v>10.770634612409332</c:v>
                </c:pt>
                <c:pt idx="41">
                  <c:v>10.860289893285524</c:v>
                </c:pt>
                <c:pt idx="42">
                  <c:v>10.891652978840922</c:v>
                </c:pt>
                <c:pt idx="43">
                  <c:v>10.931921927801636</c:v>
                </c:pt>
                <c:pt idx="44">
                  <c:v>10.984216601890552</c:v>
                </c:pt>
                <c:pt idx="45">
                  <c:v>11.002603236898572</c:v>
                </c:pt>
                <c:pt idx="46">
                  <c:v>11.05741398078932</c:v>
                </c:pt>
                <c:pt idx="47">
                  <c:v>11.078367029906744</c:v>
                </c:pt>
                <c:pt idx="48">
                  <c:v>11.131487072468836</c:v>
                </c:pt>
                <c:pt idx="49">
                  <c:v>11.261200237630561</c:v>
                </c:pt>
                <c:pt idx="50">
                  <c:v>11.271594361823745</c:v>
                </c:pt>
                <c:pt idx="51">
                  <c:v>11.286586950993106</c:v>
                </c:pt>
                <c:pt idx="52">
                  <c:v>11.337510118325634</c:v>
                </c:pt>
                <c:pt idx="53">
                  <c:v>11.308890505214187</c:v>
                </c:pt>
                <c:pt idx="54">
                  <c:v>11.237053930107097</c:v>
                </c:pt>
                <c:pt idx="55">
                  <c:v>11.144264962779069</c:v>
                </c:pt>
                <c:pt idx="56">
                  <c:v>10.816496086432547</c:v>
                </c:pt>
                <c:pt idx="57">
                  <c:v>10.394833698877877</c:v>
                </c:pt>
                <c:pt idx="58">
                  <c:v>9.7189741327521517</c:v>
                </c:pt>
                <c:pt idx="59">
                  <c:v>8.6389052900458765</c:v>
                </c:pt>
                <c:pt idx="60">
                  <c:v>7.2159226274913468</c:v>
                </c:pt>
                <c:pt idx="61">
                  <c:v>5.5515330676397516</c:v>
                </c:pt>
                <c:pt idx="62">
                  <c:v>4.0125911581759155</c:v>
                </c:pt>
                <c:pt idx="63">
                  <c:v>2.8843663702541082</c:v>
                </c:pt>
                <c:pt idx="64">
                  <c:v>2.1626121918560055</c:v>
                </c:pt>
                <c:pt idx="65">
                  <c:v>1.7582778939837518</c:v>
                </c:pt>
                <c:pt idx="66">
                  <c:v>1.0479469508973536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78-4C2C-8AE8-870D356091AD}"/>
            </c:ext>
          </c:extLst>
        </c:ser>
        <c:ser>
          <c:idx val="4"/>
          <c:order val="4"/>
          <c:tx>
            <c:strRef>
              <c:f>IC計算!$R$11</c:f>
              <c:strCache>
                <c:ptCount val="1"/>
                <c:pt idx="0">
                  <c:v>993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IC計算!$S$15:$S$104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3.890188278018968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4.5199902784519566</c:v>
                </c:pt>
                <c:pt idx="13">
                  <c:v>4.7931028239556923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5.2683707039146697</c:v>
                </c:pt>
                <c:pt idx="18">
                  <c:v>5.4184299335766042</c:v>
                </c:pt>
                <c:pt idx="19">
                  <c:v>5.6390757133033134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6.1566028270359681</c:v>
                </c:pt>
                <c:pt idx="23">
                  <c:v>6.1566028270362665</c:v>
                </c:pt>
                <c:pt idx="24">
                  <c:v>6.4537757331347834</c:v>
                </c:pt>
                <c:pt idx="25">
                  <c:v>6.781092095955465</c:v>
                </c:pt>
                <c:pt idx="26">
                  <c:v>7.1302472608815037</c:v>
                </c:pt>
                <c:pt idx="27">
                  <c:v>7.1302472608815037</c:v>
                </c:pt>
                <c:pt idx="28">
                  <c:v>7.508575639944489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8.760570403224925</c:v>
                </c:pt>
                <c:pt idx="32">
                  <c:v>9.1203302319539077</c:v>
                </c:pt>
                <c:pt idx="33">
                  <c:v>9.6305711591397944</c:v>
                </c:pt>
                <c:pt idx="34">
                  <c:v>10.118550262180015</c:v>
                </c:pt>
                <c:pt idx="35">
                  <c:v>10.457136755666674</c:v>
                </c:pt>
                <c:pt idx="37">
                  <c:v>10.513634654195634</c:v>
                </c:pt>
                <c:pt idx="38">
                  <c:v>10.513634654195634</c:v>
                </c:pt>
                <c:pt idx="39">
                  <c:v>10.585667060697908</c:v>
                </c:pt>
                <c:pt idx="40">
                  <c:v>10.605657714626256</c:v>
                </c:pt>
                <c:pt idx="41">
                  <c:v>10.64461881302439</c:v>
                </c:pt>
                <c:pt idx="42">
                  <c:v>10.69930590636687</c:v>
                </c:pt>
                <c:pt idx="43">
                  <c:v>10.70441259258503</c:v>
                </c:pt>
                <c:pt idx="44">
                  <c:v>10.770634612409332</c:v>
                </c:pt>
                <c:pt idx="45">
                  <c:v>10.770634612409332</c:v>
                </c:pt>
                <c:pt idx="46">
                  <c:v>10.860289893285524</c:v>
                </c:pt>
                <c:pt idx="47">
                  <c:v>10.891652978840922</c:v>
                </c:pt>
                <c:pt idx="48">
                  <c:v>10.931921927801636</c:v>
                </c:pt>
                <c:pt idx="49">
                  <c:v>10.984216601890552</c:v>
                </c:pt>
                <c:pt idx="50">
                  <c:v>11.002603236898572</c:v>
                </c:pt>
                <c:pt idx="51">
                  <c:v>11.05741398078932</c:v>
                </c:pt>
                <c:pt idx="52">
                  <c:v>11.078367029906744</c:v>
                </c:pt>
                <c:pt idx="53">
                  <c:v>11.131487072468836</c:v>
                </c:pt>
                <c:pt idx="54">
                  <c:v>11.261200237630561</c:v>
                </c:pt>
                <c:pt idx="55">
                  <c:v>11.271594361823745</c:v>
                </c:pt>
                <c:pt idx="56">
                  <c:v>11.286586950993106</c:v>
                </c:pt>
                <c:pt idx="57">
                  <c:v>11.337510118325634</c:v>
                </c:pt>
                <c:pt idx="58">
                  <c:v>11.308890505214187</c:v>
                </c:pt>
                <c:pt idx="59">
                  <c:v>11.237053930107097</c:v>
                </c:pt>
                <c:pt idx="60">
                  <c:v>11.144264962779069</c:v>
                </c:pt>
                <c:pt idx="61">
                  <c:v>10.816496086432547</c:v>
                </c:pt>
                <c:pt idx="62">
                  <c:v>10.394833698877877</c:v>
                </c:pt>
                <c:pt idx="63">
                  <c:v>9.7189741327521517</c:v>
                </c:pt>
                <c:pt idx="64">
                  <c:v>8.6389052900458765</c:v>
                </c:pt>
                <c:pt idx="65">
                  <c:v>7.2159226274913468</c:v>
                </c:pt>
                <c:pt idx="66">
                  <c:v>5.5515330676397516</c:v>
                </c:pt>
                <c:pt idx="67">
                  <c:v>4.0125911581759155</c:v>
                </c:pt>
                <c:pt idx="68">
                  <c:v>2.8843663702541082</c:v>
                </c:pt>
                <c:pt idx="69">
                  <c:v>2.1626121918560055</c:v>
                </c:pt>
                <c:pt idx="70">
                  <c:v>1.7582778939837518</c:v>
                </c:pt>
                <c:pt idx="71">
                  <c:v>1.0479469508973536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78-4C2C-8AE8-870D356091AD}"/>
            </c:ext>
          </c:extLst>
        </c:ser>
        <c:ser>
          <c:idx val="5"/>
          <c:order val="5"/>
          <c:tx>
            <c:strRef>
              <c:f>IC計算!$U$11</c:f>
              <c:strCache>
                <c:ptCount val="1"/>
                <c:pt idx="0">
                  <c:v>998</c:v>
                </c:pt>
              </c:strCache>
            </c:strRef>
          </c:tx>
          <c:spPr>
            <a:ln w="12700">
              <a:solidFill>
                <a:srgbClr val="009900"/>
              </a:solidFill>
            </a:ln>
          </c:spPr>
          <c:marker>
            <c:symbol val="none"/>
          </c:marker>
          <c:xVal>
            <c:numRef>
              <c:f>IC計算!$G$15:$G$104</c:f>
              <c:numCache>
                <c:formatCode>0.0</c:formatCode>
                <c:ptCount val="9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#N/A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#N/A</c:v>
                </c:pt>
                <c:pt idx="16">
                  <c:v>661</c:v>
                </c:pt>
                <c:pt idx="17">
                  <c:v>672</c:v>
                </c:pt>
                <c:pt idx="18">
                  <c:v>683</c:v>
                </c:pt>
                <c:pt idx="19">
                  <c:v>694</c:v>
                </c:pt>
                <c:pt idx="20">
                  <c:v>705</c:v>
                </c:pt>
                <c:pt idx="21">
                  <c:v>716</c:v>
                </c:pt>
                <c:pt idx="22">
                  <c:v>727</c:v>
                </c:pt>
                <c:pt idx="23">
                  <c:v>738</c:v>
                </c:pt>
                <c:pt idx="24">
                  <c:v>749</c:v>
                </c:pt>
                <c:pt idx="25">
                  <c:v>760</c:v>
                </c:pt>
                <c:pt idx="26">
                  <c:v>771</c:v>
                </c:pt>
                <c:pt idx="27">
                  <c:v>782</c:v>
                </c:pt>
                <c:pt idx="28">
                  <c:v>793</c:v>
                </c:pt>
                <c:pt idx="29">
                  <c:v>804</c:v>
                </c:pt>
                <c:pt idx="30">
                  <c:v>815</c:v>
                </c:pt>
                <c:pt idx="31">
                  <c:v>826</c:v>
                </c:pt>
                <c:pt idx="32">
                  <c:v>837</c:v>
                </c:pt>
                <c:pt idx="33">
                  <c:v>848</c:v>
                </c:pt>
                <c:pt idx="34">
                  <c:v>859</c:v>
                </c:pt>
                <c:pt idx="35">
                  <c:v>870</c:v>
                </c:pt>
                <c:pt idx="36">
                  <c:v>#N/A</c:v>
                </c:pt>
                <c:pt idx="37">
                  <c:v>871</c:v>
                </c:pt>
                <c:pt idx="38">
                  <c:v>872</c:v>
                </c:pt>
                <c:pt idx="39">
                  <c:v>873</c:v>
                </c:pt>
                <c:pt idx="40">
                  <c:v>874</c:v>
                </c:pt>
                <c:pt idx="41">
                  <c:v>875</c:v>
                </c:pt>
                <c:pt idx="42">
                  <c:v>876</c:v>
                </c:pt>
                <c:pt idx="43">
                  <c:v>877</c:v>
                </c:pt>
                <c:pt idx="44">
                  <c:v>878</c:v>
                </c:pt>
                <c:pt idx="45">
                  <c:v>879</c:v>
                </c:pt>
                <c:pt idx="46">
                  <c:v>880</c:v>
                </c:pt>
                <c:pt idx="47">
                  <c:v>881</c:v>
                </c:pt>
                <c:pt idx="48">
                  <c:v>882</c:v>
                </c:pt>
                <c:pt idx="49">
                  <c:v>883</c:v>
                </c:pt>
                <c:pt idx="50">
                  <c:v>884</c:v>
                </c:pt>
                <c:pt idx="51">
                  <c:v>885</c:v>
                </c:pt>
                <c:pt idx="52">
                  <c:v>886</c:v>
                </c:pt>
                <c:pt idx="53">
                  <c:v>887</c:v>
                </c:pt>
                <c:pt idx="54">
                  <c:v>888</c:v>
                </c:pt>
                <c:pt idx="55">
                  <c:v>889</c:v>
                </c:pt>
                <c:pt idx="56">
                  <c:v>890</c:v>
                </c:pt>
                <c:pt idx="57">
                  <c:v>891</c:v>
                </c:pt>
                <c:pt idx="58">
                  <c:v>892</c:v>
                </c:pt>
                <c:pt idx="59">
                  <c:v>893</c:v>
                </c:pt>
                <c:pt idx="60">
                  <c:v>894</c:v>
                </c:pt>
                <c:pt idx="61">
                  <c:v>895</c:v>
                </c:pt>
                <c:pt idx="62">
                  <c:v>896</c:v>
                </c:pt>
                <c:pt idx="63">
                  <c:v>897</c:v>
                </c:pt>
                <c:pt idx="64">
                  <c:v>898</c:v>
                </c:pt>
                <c:pt idx="65">
                  <c:v>899</c:v>
                </c:pt>
                <c:pt idx="66">
                  <c:v>900</c:v>
                </c:pt>
                <c:pt idx="67">
                  <c:v>901</c:v>
                </c:pt>
                <c:pt idx="68">
                  <c:v>902</c:v>
                </c:pt>
                <c:pt idx="69">
                  <c:v>903</c:v>
                </c:pt>
                <c:pt idx="70">
                  <c:v>904</c:v>
                </c:pt>
                <c:pt idx="71">
                  <c:v>905</c:v>
                </c:pt>
                <c:pt idx="72">
                  <c:v>906</c:v>
                </c:pt>
                <c:pt idx="73">
                  <c:v>907</c:v>
                </c:pt>
                <c:pt idx="74">
                  <c:v>908</c:v>
                </c:pt>
                <c:pt idx="75">
                  <c:v>909</c:v>
                </c:pt>
                <c:pt idx="76">
                  <c:v>910</c:v>
                </c:pt>
                <c:pt idx="77">
                  <c:v>911</c:v>
                </c:pt>
                <c:pt idx="78">
                  <c:v>912</c:v>
                </c:pt>
                <c:pt idx="79">
                  <c:v>913</c:v>
                </c:pt>
                <c:pt idx="80">
                  <c:v>914</c:v>
                </c:pt>
                <c:pt idx="81">
                  <c:v>915</c:v>
                </c:pt>
                <c:pt idx="82">
                  <c:v>916</c:v>
                </c:pt>
                <c:pt idx="83">
                  <c:v>917</c:v>
                </c:pt>
                <c:pt idx="84">
                  <c:v>918</c:v>
                </c:pt>
                <c:pt idx="85">
                  <c:v>919</c:v>
                </c:pt>
                <c:pt idx="86">
                  <c:v>920</c:v>
                </c:pt>
                <c:pt idx="87">
                  <c:v>921</c:v>
                </c:pt>
                <c:pt idx="88">
                  <c:v>922</c:v>
                </c:pt>
                <c:pt idx="89">
                  <c:v>923</c:v>
                </c:pt>
              </c:numCache>
            </c:numRef>
          </c:xVal>
          <c:yVal>
            <c:numRef>
              <c:f>IC計算!$V$15:$V$104</c:f>
              <c:numCache>
                <c:formatCode>0.000</c:formatCode>
                <c:ptCount val="90"/>
                <c:pt idx="0">
                  <c:v>3.1269584358606437</c:v>
                </c:pt>
                <c:pt idx="1">
                  <c:v>3.1269584358606437</c:v>
                </c:pt>
                <c:pt idx="2">
                  <c:v>3.1269584358606437</c:v>
                </c:pt>
                <c:pt idx="3">
                  <c:v>3.2311903837226055</c:v>
                </c:pt>
                <c:pt idx="4">
                  <c:v>3.2311903837226055</c:v>
                </c:pt>
                <c:pt idx="5">
                  <c:v>3.4619896968458193</c:v>
                </c:pt>
                <c:pt idx="7">
                  <c:v>3.4619896968458193</c:v>
                </c:pt>
                <c:pt idx="8">
                  <c:v>3.6131602587451255</c:v>
                </c:pt>
                <c:pt idx="9">
                  <c:v>3.8901882780195649</c:v>
                </c:pt>
                <c:pt idx="10">
                  <c:v>4.0265727137859813</c:v>
                </c:pt>
                <c:pt idx="11">
                  <c:v>4.2770786935971472</c:v>
                </c:pt>
                <c:pt idx="12">
                  <c:v>4.519990278452255</c:v>
                </c:pt>
                <c:pt idx="13">
                  <c:v>4.7931028239559907</c:v>
                </c:pt>
                <c:pt idx="14">
                  <c:v>5.1336269832747234</c:v>
                </c:pt>
                <c:pt idx="16">
                  <c:v>5.1336269832747234</c:v>
                </c:pt>
                <c:pt idx="17">
                  <c:v>5.1336269832747234</c:v>
                </c:pt>
                <c:pt idx="18">
                  <c:v>5.4184299335766042</c:v>
                </c:pt>
                <c:pt idx="19">
                  <c:v>5.4184299335766042</c:v>
                </c:pt>
                <c:pt idx="20">
                  <c:v>5.6390757133033134</c:v>
                </c:pt>
                <c:pt idx="21">
                  <c:v>5.8838064650492328</c:v>
                </c:pt>
                <c:pt idx="22">
                  <c:v>5.8838064650489343</c:v>
                </c:pt>
                <c:pt idx="23">
                  <c:v>6.1566028270362665</c:v>
                </c:pt>
                <c:pt idx="24">
                  <c:v>6.4537757331346342</c:v>
                </c:pt>
                <c:pt idx="25">
                  <c:v>6.6077100522104857</c:v>
                </c:pt>
                <c:pt idx="26">
                  <c:v>6.781092095955465</c:v>
                </c:pt>
                <c:pt idx="27">
                  <c:v>7.1302472608815037</c:v>
                </c:pt>
                <c:pt idx="28">
                  <c:v>7.5085756399446382</c:v>
                </c:pt>
                <c:pt idx="29">
                  <c:v>7.9098907802272436</c:v>
                </c:pt>
                <c:pt idx="30">
                  <c:v>8.3278102673268535</c:v>
                </c:pt>
                <c:pt idx="31">
                  <c:v>8.7227554933352422</c:v>
                </c:pt>
                <c:pt idx="32">
                  <c:v>8.9562758532819871</c:v>
                </c:pt>
                <c:pt idx="33">
                  <c:v>9.4738153005076633</c:v>
                </c:pt>
                <c:pt idx="34">
                  <c:v>9.9217719049830535</c:v>
                </c:pt>
                <c:pt idx="35">
                  <c:v>10.246903965294329</c:v>
                </c:pt>
                <c:pt idx="37">
                  <c:v>10.35512477028923</c:v>
                </c:pt>
                <c:pt idx="38">
                  <c:v>10.356379435009007</c:v>
                </c:pt>
                <c:pt idx="39">
                  <c:v>10.407614502126766</c:v>
                </c:pt>
                <c:pt idx="40">
                  <c:v>10.445658568069483</c:v>
                </c:pt>
                <c:pt idx="41">
                  <c:v>10.457136755666674</c:v>
                </c:pt>
                <c:pt idx="42">
                  <c:v>10.513634654195634</c:v>
                </c:pt>
                <c:pt idx="43">
                  <c:v>10.513634654195634</c:v>
                </c:pt>
                <c:pt idx="44">
                  <c:v>10.585667060697908</c:v>
                </c:pt>
                <c:pt idx="45">
                  <c:v>10.605657714626256</c:v>
                </c:pt>
                <c:pt idx="46">
                  <c:v>10.64461881302439</c:v>
                </c:pt>
                <c:pt idx="47">
                  <c:v>10.69930590636687</c:v>
                </c:pt>
                <c:pt idx="48">
                  <c:v>10.70441259258503</c:v>
                </c:pt>
                <c:pt idx="49">
                  <c:v>10.770634612409332</c:v>
                </c:pt>
                <c:pt idx="50">
                  <c:v>10.770634612409332</c:v>
                </c:pt>
                <c:pt idx="51">
                  <c:v>10.860289893285524</c:v>
                </c:pt>
                <c:pt idx="52">
                  <c:v>10.891652978840922</c:v>
                </c:pt>
                <c:pt idx="53">
                  <c:v>10.931921927801636</c:v>
                </c:pt>
                <c:pt idx="54">
                  <c:v>10.984216601890552</c:v>
                </c:pt>
                <c:pt idx="55">
                  <c:v>11.002603236898572</c:v>
                </c:pt>
                <c:pt idx="56">
                  <c:v>11.05741398078932</c:v>
                </c:pt>
                <c:pt idx="57">
                  <c:v>11.078367029906744</c:v>
                </c:pt>
                <c:pt idx="58">
                  <c:v>11.131487072468836</c:v>
                </c:pt>
                <c:pt idx="59">
                  <c:v>11.261200237630561</c:v>
                </c:pt>
                <c:pt idx="60">
                  <c:v>11.271594361823745</c:v>
                </c:pt>
                <c:pt idx="61">
                  <c:v>11.286586950993106</c:v>
                </c:pt>
                <c:pt idx="62">
                  <c:v>11.337510118325634</c:v>
                </c:pt>
                <c:pt idx="63">
                  <c:v>11.308890505214187</c:v>
                </c:pt>
                <c:pt idx="64">
                  <c:v>11.237053930107097</c:v>
                </c:pt>
                <c:pt idx="65">
                  <c:v>11.144264962779069</c:v>
                </c:pt>
                <c:pt idx="66">
                  <c:v>10.816496086432547</c:v>
                </c:pt>
                <c:pt idx="67">
                  <c:v>10.394833698877877</c:v>
                </c:pt>
                <c:pt idx="68">
                  <c:v>9.7189741327521517</c:v>
                </c:pt>
                <c:pt idx="69">
                  <c:v>8.6389052900458765</c:v>
                </c:pt>
                <c:pt idx="70">
                  <c:v>7.2159226274913468</c:v>
                </c:pt>
                <c:pt idx="71">
                  <c:v>5.5515330676397516</c:v>
                </c:pt>
                <c:pt idx="72">
                  <c:v>4.0125911581759155</c:v>
                </c:pt>
                <c:pt idx="73">
                  <c:v>2.8843663702541082</c:v>
                </c:pt>
                <c:pt idx="74">
                  <c:v>2.1626121918560055</c:v>
                </c:pt>
                <c:pt idx="75">
                  <c:v>1.7582778939837518</c:v>
                </c:pt>
                <c:pt idx="76">
                  <c:v>1.0479469508973536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78-4C2C-8AE8-870D35609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01952"/>
        <c:axId val="42703872"/>
      </c:scatterChart>
      <c:valAx>
        <c:axId val="42701952"/>
        <c:scaling>
          <c:orientation val="minMax"/>
          <c:max val="1000"/>
          <c:min val="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Th0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39871226851851854"/>
              <c:y val="0.94203657407407404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703872"/>
        <c:crosses val="autoZero"/>
        <c:crossBetween val="midCat"/>
      </c:valAx>
      <c:valAx>
        <c:axId val="42703872"/>
        <c:scaling>
          <c:orientation val="minMax"/>
          <c:max val="15"/>
          <c:min val="0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en-US" altLang="ja-JP" baseline="0">
                    <a:latin typeface="+mn-ea"/>
                    <a:ea typeface="+mn-ea"/>
                  </a:rPr>
                  <a:t>IC2,</a:t>
                </a:r>
                <a:r>
                  <a:rPr lang="ja-JP" altLang="en-US" baseline="0">
                    <a:latin typeface="+mn-ea"/>
                    <a:ea typeface="+mn-ea"/>
                  </a:rPr>
                  <a:t>⊿</a:t>
                </a:r>
                <a:r>
                  <a:rPr lang="en-US" altLang="ja-JP" baseline="0">
                    <a:latin typeface="+mn-ea"/>
                    <a:ea typeface="+mn-ea"/>
                  </a:rPr>
                  <a:t>E [MeV]</a:t>
                </a:r>
                <a:r>
                  <a:rPr lang="ja-JP" altLang="en-US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IC2raw, </a:t>
                </a:r>
                <a:r>
                  <a:rPr lang="ja-JP" altLang="en-US" baseline="0">
                    <a:solidFill>
                      <a:srgbClr val="C00000"/>
                    </a:solidFill>
                    <a:latin typeface="+mn-ea"/>
                    <a:ea typeface="+mn-ea"/>
                  </a:rPr>
                  <a:t>⊿</a:t>
                </a:r>
                <a:r>
                  <a:rPr lang="en-US" altLang="ja-JP" baseline="0">
                    <a:solidFill>
                      <a:srgbClr val="C00000"/>
                    </a:solidFill>
                    <a:latin typeface="+mn-ea"/>
                    <a:ea typeface="+mn-ea"/>
                  </a:rPr>
                  <a:t>Eclc</a:t>
                </a:r>
                <a:endParaRPr lang="ja-JP" altLang="en-US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1.8439285714285714E-2"/>
              <c:y val="0.13117685185185182"/>
            </c:manualLayout>
          </c:layout>
          <c:overlay val="0"/>
        </c:title>
        <c:numFmt formatCode="0_ 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701952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1774074074074076"/>
          <c:y val="9.2820486111111114E-2"/>
          <c:w val="0.17820416666666666"/>
          <c:h val="0.2860746527777777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IC解析!$BF$87</c:f>
          <c:strCache>
            <c:ptCount val="1"/>
            <c:pt idx="0">
              <c:v>IC1[A] raw</c:v>
            </c:pt>
          </c:strCache>
        </c:strRef>
      </c:tx>
      <c:layout>
        <c:manualLayout>
          <c:xMode val="edge"/>
          <c:yMode val="edge"/>
          <c:x val="0.21724097222222222"/>
          <c:y val="2.0542222222222229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580439814814811"/>
          <c:y val="4.7592592592592596E-2"/>
          <c:w val="0.76080856481481485"/>
          <c:h val="0.69572500000000004"/>
        </c:manualLayout>
      </c:layout>
      <c:scatterChart>
        <c:scatterStyle val="smoothMarker"/>
        <c:varyColors val="0"/>
        <c:ser>
          <c:idx val="0"/>
          <c:order val="0"/>
          <c:tx>
            <c:v>IC1avrDiff</c:v>
          </c:tx>
          <c:spPr>
            <a:ln>
              <a:noFill/>
            </a:ln>
          </c:spPr>
          <c:marker>
            <c:symbol val="square"/>
            <c:size val="6"/>
            <c:spPr>
              <a:noFill/>
              <a:ln>
                <a:solidFill>
                  <a:srgbClr val="00CC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IC解析!$Z$15:$Z$71</c:f>
                <c:numCache>
                  <c:formatCode>General</c:formatCode>
                  <c:ptCount val="57"/>
                  <c:pt idx="0">
                    <c:v>7.2810000000000001E-8</c:v>
                  </c:pt>
                  <c:pt idx="1">
                    <c:v>8.8349999999999994E-8</c:v>
                  </c:pt>
                  <c:pt idx="2">
                    <c:v>8.2170000000000001E-8</c:v>
                  </c:pt>
                  <c:pt idx="3">
                    <c:v>5.3349999999999998E-8</c:v>
                  </c:pt>
                  <c:pt idx="4">
                    <c:v>6.3510000000000004E-8</c:v>
                  </c:pt>
                  <c:pt idx="5">
                    <c:v>6.5540000000000003E-8</c:v>
                  </c:pt>
                  <c:pt idx="6">
                    <c:v>6.4049999999999995E-8</c:v>
                  </c:pt>
                  <c:pt idx="7">
                    <c:v>8.762E-8</c:v>
                  </c:pt>
                  <c:pt idx="8">
                    <c:v>8.2170000000000001E-8</c:v>
                  </c:pt>
                  <c:pt idx="9">
                    <c:v>3.9039999999999998E-8</c:v>
                  </c:pt>
                  <c:pt idx="10">
                    <c:v>6.2470000000000003E-8</c:v>
                  </c:pt>
                  <c:pt idx="11">
                    <c:v>5.404E-8</c:v>
                  </c:pt>
                  <c:pt idx="12">
                    <c:v>6.1690000000000005E-8</c:v>
                  </c:pt>
                  <c:pt idx="13">
                    <c:v>6.4659999999999998E-8</c:v>
                  </c:pt>
                  <c:pt idx="14">
                    <c:v>7.2429999999999994E-8</c:v>
                  </c:pt>
                  <c:pt idx="15">
                    <c:v>6.514E-8</c:v>
                  </c:pt>
                  <c:pt idx="16">
                    <c:v>8.4320000000000003E-8</c:v>
                  </c:pt>
                  <c:pt idx="17">
                    <c:v>6.9320000000000001E-8</c:v>
                  </c:pt>
                  <c:pt idx="18">
                    <c:v>6.8789999999999996E-8</c:v>
                  </c:pt>
                  <c:pt idx="19">
                    <c:v>6.032E-8</c:v>
                  </c:pt>
                  <c:pt idx="20">
                    <c:v>7.7190000000000005E-8</c:v>
                  </c:pt>
                  <c:pt idx="21">
                    <c:v>3.501E-8</c:v>
                  </c:pt>
                  <c:pt idx="22">
                    <c:v>4.6490000000000001E-8</c:v>
                  </c:pt>
                  <c:pt idx="23">
                    <c:v>6.3310000000000002E-8</c:v>
                  </c:pt>
                  <c:pt idx="24">
                    <c:v>4.6569999999999999E-8</c:v>
                  </c:pt>
                  <c:pt idx="25">
                    <c:v>5.1399999999999997E-8</c:v>
                  </c:pt>
                  <c:pt idx="26">
                    <c:v>3.627E-8</c:v>
                  </c:pt>
                  <c:pt idx="27">
                    <c:v>8.9299999999999999E-8</c:v>
                  </c:pt>
                  <c:pt idx="28">
                    <c:v>6.8579999999999996E-8</c:v>
                  </c:pt>
                  <c:pt idx="29">
                    <c:v>3.9809999999999997E-8</c:v>
                  </c:pt>
                  <c:pt idx="30">
                    <c:v>4.4120000000000001E-8</c:v>
                  </c:pt>
                  <c:pt idx="31">
                    <c:v>7.8230000000000006E-8</c:v>
                  </c:pt>
                  <c:pt idx="32">
                    <c:v>4.252E-8</c:v>
                  </c:pt>
                  <c:pt idx="33">
                    <c:v>6.9709999999999994E-8</c:v>
                  </c:pt>
                  <c:pt idx="34">
                    <c:v>5.7270000000000003E-8</c:v>
                  </c:pt>
                  <c:pt idx="35">
                    <c:v>7.1120000000000004E-8</c:v>
                  </c:pt>
                  <c:pt idx="36">
                    <c:v>6.0290000000000006E-8</c:v>
                  </c:pt>
                  <c:pt idx="37">
                    <c:v>3.8080000000000001E-8</c:v>
                  </c:pt>
                </c:numCache>
              </c:numRef>
            </c:plus>
            <c:minus>
              <c:numRef>
                <c:f>IC解析!$Z$15:$Z$71</c:f>
                <c:numCache>
                  <c:formatCode>General</c:formatCode>
                  <c:ptCount val="57"/>
                  <c:pt idx="0">
                    <c:v>7.2810000000000001E-8</c:v>
                  </c:pt>
                  <c:pt idx="1">
                    <c:v>8.8349999999999994E-8</c:v>
                  </c:pt>
                  <c:pt idx="2">
                    <c:v>8.2170000000000001E-8</c:v>
                  </c:pt>
                  <c:pt idx="3">
                    <c:v>5.3349999999999998E-8</c:v>
                  </c:pt>
                  <c:pt idx="4">
                    <c:v>6.3510000000000004E-8</c:v>
                  </c:pt>
                  <c:pt idx="5">
                    <c:v>6.5540000000000003E-8</c:v>
                  </c:pt>
                  <c:pt idx="6">
                    <c:v>6.4049999999999995E-8</c:v>
                  </c:pt>
                  <c:pt idx="7">
                    <c:v>8.762E-8</c:v>
                  </c:pt>
                  <c:pt idx="8">
                    <c:v>8.2170000000000001E-8</c:v>
                  </c:pt>
                  <c:pt idx="9">
                    <c:v>3.9039999999999998E-8</c:v>
                  </c:pt>
                  <c:pt idx="10">
                    <c:v>6.2470000000000003E-8</c:v>
                  </c:pt>
                  <c:pt idx="11">
                    <c:v>5.404E-8</c:v>
                  </c:pt>
                  <c:pt idx="12">
                    <c:v>6.1690000000000005E-8</c:v>
                  </c:pt>
                  <c:pt idx="13">
                    <c:v>6.4659999999999998E-8</c:v>
                  </c:pt>
                  <c:pt idx="14">
                    <c:v>7.2429999999999994E-8</c:v>
                  </c:pt>
                  <c:pt idx="15">
                    <c:v>6.514E-8</c:v>
                  </c:pt>
                  <c:pt idx="16">
                    <c:v>8.4320000000000003E-8</c:v>
                  </c:pt>
                  <c:pt idx="17">
                    <c:v>6.9320000000000001E-8</c:v>
                  </c:pt>
                  <c:pt idx="18">
                    <c:v>6.8789999999999996E-8</c:v>
                  </c:pt>
                  <c:pt idx="19">
                    <c:v>6.032E-8</c:v>
                  </c:pt>
                  <c:pt idx="20">
                    <c:v>7.7190000000000005E-8</c:v>
                  </c:pt>
                  <c:pt idx="21">
                    <c:v>3.501E-8</c:v>
                  </c:pt>
                  <c:pt idx="22">
                    <c:v>4.6490000000000001E-8</c:v>
                  </c:pt>
                  <c:pt idx="23">
                    <c:v>6.3310000000000002E-8</c:v>
                  </c:pt>
                  <c:pt idx="24">
                    <c:v>4.6569999999999999E-8</c:v>
                  </c:pt>
                  <c:pt idx="25">
                    <c:v>5.1399999999999997E-8</c:v>
                  </c:pt>
                  <c:pt idx="26">
                    <c:v>3.627E-8</c:v>
                  </c:pt>
                  <c:pt idx="27">
                    <c:v>8.9299999999999999E-8</c:v>
                  </c:pt>
                  <c:pt idx="28">
                    <c:v>6.8579999999999996E-8</c:v>
                  </c:pt>
                  <c:pt idx="29">
                    <c:v>3.9809999999999997E-8</c:v>
                  </c:pt>
                  <c:pt idx="30">
                    <c:v>4.4120000000000001E-8</c:v>
                  </c:pt>
                  <c:pt idx="31">
                    <c:v>7.8230000000000006E-8</c:v>
                  </c:pt>
                  <c:pt idx="32">
                    <c:v>4.252E-8</c:v>
                  </c:pt>
                  <c:pt idx="33">
                    <c:v>6.9709999999999994E-8</c:v>
                  </c:pt>
                  <c:pt idx="34">
                    <c:v>5.7270000000000003E-8</c:v>
                  </c:pt>
                  <c:pt idx="35">
                    <c:v>7.1120000000000004E-8</c:v>
                  </c:pt>
                  <c:pt idx="36">
                    <c:v>6.0290000000000006E-8</c:v>
                  </c:pt>
                  <c:pt idx="37">
                    <c:v>3.8080000000000001E-8</c:v>
                  </c:pt>
                </c:numCache>
              </c:numRef>
            </c:minus>
            <c:spPr>
              <a:ln>
                <a:solidFill>
                  <a:srgbClr val="00CC00"/>
                </a:solidFill>
              </a:ln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IC解析!$AF$15:$AF$71</c:f>
              <c:numCache>
                <c:formatCode>0.0%</c:formatCode>
                <c:ptCount val="57"/>
                <c:pt idx="0">
                  <c:v>1.0190916152242346</c:v>
                </c:pt>
                <c:pt idx="1">
                  <c:v>1.0159846285924534</c:v>
                </c:pt>
                <c:pt idx="2">
                  <c:v>1.0237520951719064</c:v>
                </c:pt>
                <c:pt idx="3">
                  <c:v>1.0366978728043281</c:v>
                </c:pt>
                <c:pt idx="4">
                  <c:v>1.0434296771731875</c:v>
                </c:pt>
                <c:pt idx="5">
                  <c:v>1.0196094463295315</c:v>
                </c:pt>
                <c:pt idx="6">
                  <c:v>1.0082171620130005</c:v>
                </c:pt>
                <c:pt idx="7">
                  <c:v>1.0263412506983907</c:v>
                </c:pt>
                <c:pt idx="8">
                  <c:v>1.0455010015943749</c:v>
                </c:pt>
                <c:pt idx="9">
                  <c:v>1.0149489663818596</c:v>
                </c:pt>
                <c:pt idx="10">
                  <c:v>0.99527138438057872</c:v>
                </c:pt>
                <c:pt idx="11">
                  <c:v>1.009770655328891</c:v>
                </c:pt>
                <c:pt idx="12">
                  <c:v>1.0190916152242346</c:v>
                </c:pt>
                <c:pt idx="13">
                  <c:v>1.0232342640666094</c:v>
                </c:pt>
                <c:pt idx="14">
                  <c:v>0.990610904432907</c:v>
                </c:pt>
                <c:pt idx="15">
                  <c:v>1.0030388509600316</c:v>
                </c:pt>
                <c:pt idx="16">
                  <c:v>1.0009675265388442</c:v>
                </c:pt>
                <c:pt idx="17">
                  <c:v>0.98128994453756335</c:v>
                </c:pt>
                <c:pt idx="18">
                  <c:v>0.97921862011637584</c:v>
                </c:pt>
                <c:pt idx="19">
                  <c:v>0.98232560674815705</c:v>
                </c:pt>
                <c:pt idx="20">
                  <c:v>0.98957524222231319</c:v>
                </c:pt>
                <c:pt idx="21">
                  <c:v>1.0170202908030472</c:v>
                </c:pt>
                <c:pt idx="22">
                  <c:v>0.97818295790578214</c:v>
                </c:pt>
                <c:pt idx="23">
                  <c:v>0.98698608669582888</c:v>
                </c:pt>
                <c:pt idx="24">
                  <c:v>0.98232560674815705</c:v>
                </c:pt>
                <c:pt idx="25">
                  <c:v>0.97714729569518843</c:v>
                </c:pt>
                <c:pt idx="26">
                  <c:v>0.96937982911573539</c:v>
                </c:pt>
                <c:pt idx="27">
                  <c:v>0.96471934916806357</c:v>
                </c:pt>
                <c:pt idx="28">
                  <c:v>0.99786053990706303</c:v>
                </c:pt>
                <c:pt idx="29">
                  <c:v>0.97921862011637584</c:v>
                </c:pt>
                <c:pt idx="30">
                  <c:v>0.99578921548587562</c:v>
                </c:pt>
                <c:pt idx="31">
                  <c:v>0.99889620211765684</c:v>
                </c:pt>
                <c:pt idx="32">
                  <c:v>0.98957524222231319</c:v>
                </c:pt>
                <c:pt idx="33">
                  <c:v>1.0040745131706255</c:v>
                </c:pt>
                <c:pt idx="34">
                  <c:v>0.98232560674815705</c:v>
                </c:pt>
                <c:pt idx="35">
                  <c:v>0.98853958001171938</c:v>
                </c:pt>
                <c:pt idx="36">
                  <c:v>0.97404030906340722</c:v>
                </c:pt>
                <c:pt idx="37">
                  <c:v>0.98595042448523507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E2E-46DF-8443-20F4C419A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25760"/>
        <c:axId val="42727680"/>
      </c:scatterChart>
      <c:valAx>
        <c:axId val="42725760"/>
        <c:scaling>
          <c:orientation val="minMax"/>
          <c:max val="1000"/>
          <c:min val="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Th0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39871226851851854"/>
              <c:y val="0.94203657407407404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727680"/>
        <c:crosses val="autoZero"/>
        <c:crossBetween val="midCat"/>
      </c:valAx>
      <c:valAx>
        <c:axId val="42727680"/>
        <c:scaling>
          <c:orientation val="minMax"/>
          <c:max val="1.1000000000000001"/>
          <c:min val="0.9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r>
                  <a:rPr lang="en-US" altLang="ja-JP" baseline="0">
                    <a:solidFill>
                      <a:schemeClr val="tx1"/>
                    </a:solidFill>
                    <a:latin typeface="+mn-ea"/>
                    <a:ea typeface="+mn-ea"/>
                  </a:rPr>
                  <a:t>IC1 [A]</a:t>
                </a:r>
                <a:r>
                  <a:rPr lang="ja-JP" altLang="en-US" baseline="0">
                    <a:solidFill>
                      <a:schemeClr val="tx1"/>
                    </a:solidFill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raw</a:t>
                </a:r>
                <a:endParaRPr lang="ja-JP" altLang="en-US">
                  <a:solidFill>
                    <a:srgbClr val="0000FF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1.6402777777777776E-3"/>
              <c:y val="0.22054722222222223"/>
            </c:manualLayout>
          </c:layout>
          <c:overlay val="0"/>
        </c:title>
        <c:numFmt formatCode="0%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725760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977766203703703"/>
          <c:y val="0.60548611111111106"/>
          <c:w val="0.16812476851851851"/>
          <c:h val="0.11819598765432097"/>
        </c:manualLayout>
      </c:layout>
      <c:overlay val="0"/>
      <c:spPr>
        <a:noFill/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IC解析!$BF$90</c:f>
          <c:strCache>
            <c:ptCount val="1"/>
            <c:pt idx="0">
              <c:v>IC2(raw) Ecalib</c:v>
            </c:pt>
          </c:strCache>
        </c:strRef>
      </c:tx>
      <c:layout>
        <c:manualLayout>
          <c:xMode val="edge"/>
          <c:yMode val="edge"/>
          <c:x val="0.1992289351851852"/>
          <c:y val="2.4497222222222222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777129629629628"/>
          <c:y val="3.4414120370370366E-2"/>
          <c:w val="0.7967157407407407"/>
          <c:h val="0.85401782407407412"/>
        </c:manualLayout>
      </c:layout>
      <c:scatterChart>
        <c:scatterStyle val="smoothMarker"/>
        <c:varyColors val="0"/>
        <c:ser>
          <c:idx val="0"/>
          <c:order val="0"/>
          <c:tx>
            <c:v>IC2raw [A]</c:v>
          </c:tx>
          <c:spPr>
            <a:ln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00FF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IC解析!$AB$15:$AB$71</c:f>
                <c:numCache>
                  <c:formatCode>General</c:formatCode>
                  <c:ptCount val="57"/>
                  <c:pt idx="0">
                    <c:v>3.7139999999999998E-10</c:v>
                  </c:pt>
                  <c:pt idx="1">
                    <c:v>5.8930000000000002E-10</c:v>
                  </c:pt>
                  <c:pt idx="2">
                    <c:v>4.2780000000000001E-10</c:v>
                  </c:pt>
                  <c:pt idx="3">
                    <c:v>4.4520000000000002E-10</c:v>
                  </c:pt>
                  <c:pt idx="4">
                    <c:v>4.1169999999999998E-10</c:v>
                  </c:pt>
                  <c:pt idx="5">
                    <c:v>5.8409999999999998E-10</c:v>
                  </c:pt>
                  <c:pt idx="6">
                    <c:v>5.3470000000000003E-10</c:v>
                  </c:pt>
                  <c:pt idx="7">
                    <c:v>4.3340000000000001E-9</c:v>
                  </c:pt>
                  <c:pt idx="8">
                    <c:v>7.0860000000000001E-10</c:v>
                  </c:pt>
                  <c:pt idx="9">
                    <c:v>8.2949999999999998E-10</c:v>
                  </c:pt>
                  <c:pt idx="10">
                    <c:v>8.1089999999999996E-10</c:v>
                  </c:pt>
                  <c:pt idx="11">
                    <c:v>5.5530000000000002E-9</c:v>
                  </c:pt>
                  <c:pt idx="12">
                    <c:v>8.2090000000000003E-10</c:v>
                  </c:pt>
                  <c:pt idx="13">
                    <c:v>1.055E-9</c:v>
                  </c:pt>
                  <c:pt idx="14">
                    <c:v>5.7029999999999998E-10</c:v>
                  </c:pt>
                  <c:pt idx="15">
                    <c:v>1.0480000000000001E-9</c:v>
                  </c:pt>
                  <c:pt idx="16">
                    <c:v>7.7240000000000002E-9</c:v>
                  </c:pt>
                  <c:pt idx="17">
                    <c:v>1.092E-9</c:v>
                  </c:pt>
                  <c:pt idx="18">
                    <c:v>1.4990000000000001E-9</c:v>
                  </c:pt>
                  <c:pt idx="19">
                    <c:v>1.0709999999999999E-9</c:v>
                  </c:pt>
                  <c:pt idx="20">
                    <c:v>9.5160000000000006E-9</c:v>
                  </c:pt>
                  <c:pt idx="21">
                    <c:v>1.165E-9</c:v>
                  </c:pt>
                  <c:pt idx="22">
                    <c:v>1.312E-9</c:v>
                  </c:pt>
                  <c:pt idx="23">
                    <c:v>1.5529999999999999E-9</c:v>
                  </c:pt>
                  <c:pt idx="24">
                    <c:v>1.301E-9</c:v>
                  </c:pt>
                  <c:pt idx="25">
                    <c:v>1.064E-8</c:v>
                  </c:pt>
                  <c:pt idx="26">
                    <c:v>1.637E-9</c:v>
                  </c:pt>
                  <c:pt idx="27">
                    <c:v>1.5090000000000001E-9</c:v>
                  </c:pt>
                  <c:pt idx="28">
                    <c:v>4.4640000000000003E-9</c:v>
                  </c:pt>
                  <c:pt idx="29">
                    <c:v>8.0919999999999996E-10</c:v>
                  </c:pt>
                  <c:pt idx="30">
                    <c:v>3.3799999999999999E-9</c:v>
                  </c:pt>
                  <c:pt idx="31">
                    <c:v>4.7200000000000002E-10</c:v>
                  </c:pt>
                  <c:pt idx="32">
                    <c:v>5.7340000000000001E-10</c:v>
                  </c:pt>
                  <c:pt idx="33">
                    <c:v>2.69E-10</c:v>
                  </c:pt>
                  <c:pt idx="34">
                    <c:v>2.678E-10</c:v>
                  </c:pt>
                  <c:pt idx="35">
                    <c:v>2.8879999999999997E-10</c:v>
                  </c:pt>
                  <c:pt idx="36">
                    <c:v>1.2130000000000001E-10</c:v>
                  </c:pt>
                  <c:pt idx="37">
                    <c:v>1.966E-10</c:v>
                  </c:pt>
                </c:numCache>
              </c:numRef>
            </c:plus>
            <c:minus>
              <c:numRef>
                <c:f>IC解析!$AB$15:$AB$71</c:f>
                <c:numCache>
                  <c:formatCode>General</c:formatCode>
                  <c:ptCount val="57"/>
                  <c:pt idx="0">
                    <c:v>3.7139999999999998E-10</c:v>
                  </c:pt>
                  <c:pt idx="1">
                    <c:v>5.8930000000000002E-10</c:v>
                  </c:pt>
                  <c:pt idx="2">
                    <c:v>4.2780000000000001E-10</c:v>
                  </c:pt>
                  <c:pt idx="3">
                    <c:v>4.4520000000000002E-10</c:v>
                  </c:pt>
                  <c:pt idx="4">
                    <c:v>4.1169999999999998E-10</c:v>
                  </c:pt>
                  <c:pt idx="5">
                    <c:v>5.8409999999999998E-10</c:v>
                  </c:pt>
                  <c:pt idx="6">
                    <c:v>5.3470000000000003E-10</c:v>
                  </c:pt>
                  <c:pt idx="7">
                    <c:v>4.3340000000000001E-9</c:v>
                  </c:pt>
                  <c:pt idx="8">
                    <c:v>7.0860000000000001E-10</c:v>
                  </c:pt>
                  <c:pt idx="9">
                    <c:v>8.2949999999999998E-10</c:v>
                  </c:pt>
                  <c:pt idx="10">
                    <c:v>8.1089999999999996E-10</c:v>
                  </c:pt>
                  <c:pt idx="11">
                    <c:v>5.5530000000000002E-9</c:v>
                  </c:pt>
                  <c:pt idx="12">
                    <c:v>8.2090000000000003E-10</c:v>
                  </c:pt>
                  <c:pt idx="13">
                    <c:v>1.055E-9</c:v>
                  </c:pt>
                  <c:pt idx="14">
                    <c:v>5.7029999999999998E-10</c:v>
                  </c:pt>
                  <c:pt idx="15">
                    <c:v>1.0480000000000001E-9</c:v>
                  </c:pt>
                  <c:pt idx="16">
                    <c:v>7.7240000000000002E-9</c:v>
                  </c:pt>
                  <c:pt idx="17">
                    <c:v>1.092E-9</c:v>
                  </c:pt>
                  <c:pt idx="18">
                    <c:v>1.4990000000000001E-9</c:v>
                  </c:pt>
                  <c:pt idx="19">
                    <c:v>1.0709999999999999E-9</c:v>
                  </c:pt>
                  <c:pt idx="20">
                    <c:v>9.5160000000000006E-9</c:v>
                  </c:pt>
                  <c:pt idx="21">
                    <c:v>1.165E-9</c:v>
                  </c:pt>
                  <c:pt idx="22">
                    <c:v>1.312E-9</c:v>
                  </c:pt>
                  <c:pt idx="23">
                    <c:v>1.5529999999999999E-9</c:v>
                  </c:pt>
                  <c:pt idx="24">
                    <c:v>1.301E-9</c:v>
                  </c:pt>
                  <c:pt idx="25">
                    <c:v>1.064E-8</c:v>
                  </c:pt>
                  <c:pt idx="26">
                    <c:v>1.637E-9</c:v>
                  </c:pt>
                  <c:pt idx="27">
                    <c:v>1.5090000000000001E-9</c:v>
                  </c:pt>
                  <c:pt idx="28">
                    <c:v>4.4640000000000003E-9</c:v>
                  </c:pt>
                  <c:pt idx="29">
                    <c:v>8.0919999999999996E-10</c:v>
                  </c:pt>
                  <c:pt idx="30">
                    <c:v>3.3799999999999999E-9</c:v>
                  </c:pt>
                  <c:pt idx="31">
                    <c:v>4.7200000000000002E-10</c:v>
                  </c:pt>
                  <c:pt idx="32">
                    <c:v>5.7340000000000001E-10</c:v>
                  </c:pt>
                  <c:pt idx="33">
                    <c:v>2.69E-10</c:v>
                  </c:pt>
                  <c:pt idx="34">
                    <c:v>2.678E-10</c:v>
                  </c:pt>
                  <c:pt idx="35">
                    <c:v>2.8879999999999997E-10</c:v>
                  </c:pt>
                  <c:pt idx="36">
                    <c:v>1.2130000000000001E-10</c:v>
                  </c:pt>
                  <c:pt idx="37">
                    <c:v>1.966E-10</c:v>
                  </c:pt>
                </c:numCache>
              </c:numRef>
            </c:minus>
            <c:spPr>
              <a:ln>
                <a:solidFill>
                  <a:srgbClr val="0000FF"/>
                </a:solidFill>
              </a:ln>
            </c:spPr>
          </c:errBars>
          <c:xVal>
            <c:numRef>
              <c:f>IC解析!$AP$15:$AP$71</c:f>
              <c:numCache>
                <c:formatCode>0.00</c:formatCode>
                <c:ptCount val="57"/>
                <c:pt idx="0">
                  <c:v>3.1269584358606437</c:v>
                </c:pt>
                <c:pt idx="1">
                  <c:v>3.1269584358606437</c:v>
                </c:pt>
                <c:pt idx="2">
                  <c:v>3.2307608326732407</c:v>
                </c:pt>
                <c:pt idx="3">
                  <c:v>3.4619896968452224</c:v>
                </c:pt>
                <c:pt idx="4">
                  <c:v>3.4619896968458193</c:v>
                </c:pt>
                <c:pt idx="5">
                  <c:v>3.890317588891719</c:v>
                </c:pt>
                <c:pt idx="6">
                  <c:v>4.0265727137859813</c:v>
                </c:pt>
                <c:pt idx="7">
                  <c:v>4.2770786935971472</c:v>
                </c:pt>
                <c:pt idx="8">
                  <c:v>4.519990278452255</c:v>
                </c:pt>
                <c:pt idx="9">
                  <c:v>4.7931028239556923</c:v>
                </c:pt>
                <c:pt idx="10">
                  <c:v>5.1329445243052163</c:v>
                </c:pt>
                <c:pt idx="11">
                  <c:v>5.4184299335766042</c:v>
                </c:pt>
                <c:pt idx="12">
                  <c:v>5.8838064650492328</c:v>
                </c:pt>
                <c:pt idx="13">
                  <c:v>6.4537757331347834</c:v>
                </c:pt>
                <c:pt idx="14">
                  <c:v>7.1392980389148022</c:v>
                </c:pt>
                <c:pt idx="15">
                  <c:v>7.9098907802272436</c:v>
                </c:pt>
                <c:pt idx="16">
                  <c:v>8.3278102673268535</c:v>
                </c:pt>
                <c:pt idx="17">
                  <c:v>8.760570403224925</c:v>
                </c:pt>
                <c:pt idx="18">
                  <c:v>9.0934063331787058</c:v>
                </c:pt>
                <c:pt idx="19">
                  <c:v>9.7227393692762121</c:v>
                </c:pt>
                <c:pt idx="20">
                  <c:v>10.119559359008139</c:v>
                </c:pt>
                <c:pt idx="21">
                  <c:v>10.468616508882317</c:v>
                </c:pt>
                <c:pt idx="22">
                  <c:v>10.60742062315601</c:v>
                </c:pt>
                <c:pt idx="23">
                  <c:v>10.770634612409332</c:v>
                </c:pt>
                <c:pt idx="24">
                  <c:v>10.984216601890514</c:v>
                </c:pt>
                <c:pt idx="25">
                  <c:v>11.271594361823706</c:v>
                </c:pt>
                <c:pt idx="26">
                  <c:v>11.271594361823745</c:v>
                </c:pt>
                <c:pt idx="27">
                  <c:v>11.170561836132599</c:v>
                </c:pt>
                <c:pt idx="28">
                  <c:v>7.8728429225339749</c:v>
                </c:pt>
                <c:pt idx="29">
                  <c:v>3.7831549853948898</c:v>
                </c:pt>
                <c:pt idx="30">
                  <c:v>1.744977211122819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xVal>
          <c:yVal>
            <c:numRef>
              <c:f>IC解析!$AA$15:$AA$71</c:f>
              <c:numCache>
                <c:formatCode>0.00E+00</c:formatCode>
                <c:ptCount val="57"/>
                <c:pt idx="0">
                  <c:v>1.253E-8</c:v>
                </c:pt>
                <c:pt idx="1">
                  <c:v>1.318E-8</c:v>
                </c:pt>
                <c:pt idx="2">
                  <c:v>1.417E-8</c:v>
                </c:pt>
                <c:pt idx="3">
                  <c:v>1.475E-8</c:v>
                </c:pt>
                <c:pt idx="4">
                  <c:v>1.5390000000000001E-8</c:v>
                </c:pt>
                <c:pt idx="5">
                  <c:v>1.583E-8</c:v>
                </c:pt>
                <c:pt idx="6">
                  <c:v>1.6820000000000001E-8</c:v>
                </c:pt>
                <c:pt idx="7">
                  <c:v>1.6009999999999999E-8</c:v>
                </c:pt>
                <c:pt idx="8">
                  <c:v>1.8760000000000001E-8</c:v>
                </c:pt>
                <c:pt idx="9">
                  <c:v>2.0619999999999999E-8</c:v>
                </c:pt>
                <c:pt idx="10">
                  <c:v>2.098E-8</c:v>
                </c:pt>
                <c:pt idx="11">
                  <c:v>2.0590000000000001E-8</c:v>
                </c:pt>
                <c:pt idx="12">
                  <c:v>2.3709999999999999E-8</c:v>
                </c:pt>
                <c:pt idx="13">
                  <c:v>2.578E-8</c:v>
                </c:pt>
                <c:pt idx="14">
                  <c:v>2.735E-8</c:v>
                </c:pt>
                <c:pt idx="15">
                  <c:v>2.899E-8</c:v>
                </c:pt>
                <c:pt idx="16">
                  <c:v>2.7450000000000001E-8</c:v>
                </c:pt>
                <c:pt idx="17">
                  <c:v>3.0729999999999998E-8</c:v>
                </c:pt>
                <c:pt idx="18">
                  <c:v>3.1200000000000001E-8</c:v>
                </c:pt>
                <c:pt idx="19">
                  <c:v>3.3710000000000002E-8</c:v>
                </c:pt>
                <c:pt idx="20">
                  <c:v>3.2880000000000001E-8</c:v>
                </c:pt>
                <c:pt idx="21">
                  <c:v>3.8080000000000001E-8</c:v>
                </c:pt>
                <c:pt idx="22">
                  <c:v>3.812E-8</c:v>
                </c:pt>
                <c:pt idx="23">
                  <c:v>3.8910000000000002E-8</c:v>
                </c:pt>
                <c:pt idx="24">
                  <c:v>3.9739999999999997E-8</c:v>
                </c:pt>
                <c:pt idx="25">
                  <c:v>3.6729999999999999E-8</c:v>
                </c:pt>
                <c:pt idx="26">
                  <c:v>4.0410000000000003E-8</c:v>
                </c:pt>
                <c:pt idx="27">
                  <c:v>3.7319999999999999E-8</c:v>
                </c:pt>
                <c:pt idx="28">
                  <c:v>2.634E-8</c:v>
                </c:pt>
                <c:pt idx="29">
                  <c:v>2.0380000000000001E-8</c:v>
                </c:pt>
                <c:pt idx="30">
                  <c:v>1.1339999999999999E-8</c:v>
                </c:pt>
                <c:pt idx="31">
                  <c:v>7.8179999999999993E-9</c:v>
                </c:pt>
                <c:pt idx="32">
                  <c:v>2.555E-9</c:v>
                </c:pt>
                <c:pt idx="33">
                  <c:v>1.1410000000000001E-9</c:v>
                </c:pt>
                <c:pt idx="34">
                  <c:v>6.7490000000000002E-10</c:v>
                </c:pt>
                <c:pt idx="35">
                  <c:v>6.0720000000000003E-10</c:v>
                </c:pt>
                <c:pt idx="36">
                  <c:v>3.4540000000000002E-10</c:v>
                </c:pt>
                <c:pt idx="37">
                  <c:v>3.654E-10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44-4289-B2F8-9FC1583ADB93}"/>
            </c:ext>
          </c:extLst>
        </c:ser>
        <c:ser>
          <c:idx val="1"/>
          <c:order val="1"/>
          <c:tx>
            <c:v>fit_raw</c:v>
          </c:tx>
          <c:spPr>
            <a:ln w="12700">
              <a:solidFill>
                <a:srgbClr val="008000"/>
              </a:solidFill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IC解析!$AS$80:$AS$87</c:f>
              <c:numCache>
                <c:formatCode>General</c:formatCode>
                <c:ptCount val="8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</c:numCache>
            </c:numRef>
          </c:xVal>
          <c:yVal>
            <c:numRef>
              <c:f>IC解析!$AU$80:$AU$87</c:f>
              <c:numCache>
                <c:formatCode>0.00E+00</c:formatCode>
                <c:ptCount val="8"/>
                <c:pt idx="0">
                  <c:v>3.5415372651675833E-9</c:v>
                </c:pt>
                <c:pt idx="1">
                  <c:v>4.8581024220455867E-9</c:v>
                </c:pt>
                <c:pt idx="2">
                  <c:v>6.5038088681430902E-9</c:v>
                </c:pt>
                <c:pt idx="3">
                  <c:v>9.7952217603380981E-9</c:v>
                </c:pt>
                <c:pt idx="4">
                  <c:v>1.9669460436923123E-8</c:v>
                </c:pt>
                <c:pt idx="5">
                  <c:v>3.6126524897898159E-8</c:v>
                </c:pt>
                <c:pt idx="6">
                  <c:v>4.2709350682288177E-8</c:v>
                </c:pt>
                <c:pt idx="7">
                  <c:v>5.2583589358873203E-8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44-4289-B2F8-9FC1583AD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3104"/>
        <c:axId val="42785408"/>
      </c:scatterChart>
      <c:valAx>
        <c:axId val="42783104"/>
        <c:scaling>
          <c:orientation val="minMax"/>
          <c:max val="15"/>
          <c:min val="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 algn="l">
                  <a:defRPr b="1">
                    <a:latin typeface="+mn-ea"/>
                    <a:ea typeface="+mn-ea"/>
                  </a:defRPr>
                </a:pPr>
                <a:r>
                  <a:rPr lang="ja-JP" altLang="en-US" b="1" baseline="0">
                    <a:latin typeface="+mn-ea"/>
                    <a:ea typeface="+mn-ea"/>
                  </a:rPr>
                  <a:t>⊿</a:t>
                </a:r>
                <a:r>
                  <a:rPr lang="en-US" altLang="ja-JP" b="1" baseline="0">
                    <a:latin typeface="+mn-ea"/>
                    <a:ea typeface="+mn-ea"/>
                  </a:rPr>
                  <a:t>E</a:t>
                </a:r>
                <a:r>
                  <a:rPr lang="ja-JP" altLang="en-US" b="1" baseline="0">
                    <a:latin typeface="+mn-ea"/>
                    <a:ea typeface="+mn-ea"/>
                  </a:rPr>
                  <a:t> </a:t>
                </a:r>
                <a:r>
                  <a:rPr lang="en-US" altLang="ja-JP" b="1" baseline="0">
                    <a:latin typeface="+mn-ea"/>
                    <a:ea typeface="+mn-ea"/>
                  </a:rPr>
                  <a:t>IC2</a:t>
                </a:r>
                <a:r>
                  <a:rPr lang="ja-JP" altLang="en-US" b="1" baseline="0">
                    <a:latin typeface="+mn-ea"/>
                    <a:ea typeface="+mn-ea"/>
                  </a:rPr>
                  <a:t> 計算値</a:t>
                </a:r>
                <a:r>
                  <a:rPr lang="en-US" altLang="ja-JP" b="1" baseline="0">
                    <a:latin typeface="+mn-ea"/>
                    <a:ea typeface="+mn-ea"/>
                  </a:rPr>
                  <a:t> [MeV]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r>
                  <a:rPr lang="ja-JP" altLang="en-US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⊿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Eclc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29939814814814814"/>
              <c:y val="0.94530462962962958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785408"/>
        <c:crosses val="autoZero"/>
        <c:crossBetween val="midCat"/>
      </c:valAx>
      <c:valAx>
        <c:axId val="42785408"/>
        <c:scaling>
          <c:orientation val="minMax"/>
          <c:max val="1.0000000000000004E-7"/>
          <c:min val="0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ja-JP" altLang="en-US">
                    <a:latin typeface="+mn-ea"/>
                    <a:ea typeface="+mn-ea"/>
                  </a:rPr>
                  <a:t>Ｉ</a:t>
                </a:r>
                <a:r>
                  <a:rPr lang="en-US" altLang="ja-JP">
                    <a:latin typeface="+mn-ea"/>
                    <a:ea typeface="+mn-ea"/>
                  </a:rPr>
                  <a:t>C2</a:t>
                </a:r>
                <a:r>
                  <a:rPr lang="en-US" altLang="ja-JP" baseline="0">
                    <a:latin typeface="+mn-ea"/>
                    <a:ea typeface="+mn-ea"/>
                  </a:rPr>
                  <a:t> </a:t>
                </a:r>
                <a:r>
                  <a:rPr lang="ja-JP" altLang="en-US" baseline="0"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latin typeface="+mn-ea"/>
                    <a:ea typeface="+mn-ea"/>
                  </a:rPr>
                  <a:t>[A] </a:t>
                </a:r>
                <a:r>
                  <a:rPr lang="ja-JP" altLang="en-US" baseline="0">
                    <a:latin typeface="+mn-ea"/>
                    <a:ea typeface="+mn-ea"/>
                  </a:rPr>
                  <a:t>実測値</a:t>
                </a:r>
                <a:r>
                  <a:rPr lang="en-US" altLang="ja-JP" baseline="0">
                    <a:latin typeface="+mn-ea"/>
                    <a:ea typeface="+mn-ea"/>
                  </a:rPr>
                  <a:t> </a:t>
                </a:r>
                <a:r>
                  <a:rPr lang="ja-JP" altLang="en-US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IC2raw</a:t>
                </a:r>
                <a:endParaRPr lang="ja-JP" altLang="en-US">
                  <a:solidFill>
                    <a:srgbClr val="0000FF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"/>
              <c:y val="0.23975115740740741"/>
            </c:manualLayout>
          </c:layout>
          <c:overlay val="0"/>
        </c:title>
        <c:numFmt formatCode="0E+0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783104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9964768518518522"/>
          <c:y val="8.3112268518518564E-2"/>
          <c:w val="0.26670787037037036"/>
          <c:h val="0.10475763888888889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IC解析!$BF$89</c:f>
          <c:strCache>
            <c:ptCount val="1"/>
            <c:pt idx="0">
              <c:v>IC2(norm) Ecalib</c:v>
            </c:pt>
          </c:strCache>
        </c:strRef>
      </c:tx>
      <c:layout>
        <c:manualLayout>
          <c:xMode val="edge"/>
          <c:yMode val="edge"/>
          <c:x val="0.24332623456790123"/>
          <c:y val="1.2738034188034188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6496913580247"/>
          <c:y val="3.4414120370370366E-2"/>
          <c:w val="0.73399969135802468"/>
          <c:h val="0.85401782407407412"/>
        </c:manualLayout>
      </c:layout>
      <c:scatterChart>
        <c:scatterStyle val="smoothMarker"/>
        <c:varyColors val="0"/>
        <c:ser>
          <c:idx val="0"/>
          <c:order val="0"/>
          <c:tx>
            <c:v>IC2norm [A]</c:v>
          </c:tx>
          <c:spPr>
            <a:ln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00FF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IC解析!$AB$15:$AB$71</c:f>
                <c:numCache>
                  <c:formatCode>General</c:formatCode>
                  <c:ptCount val="57"/>
                  <c:pt idx="0">
                    <c:v>3.7139999999999998E-10</c:v>
                  </c:pt>
                  <c:pt idx="1">
                    <c:v>5.8930000000000002E-10</c:v>
                  </c:pt>
                  <c:pt idx="2">
                    <c:v>4.2780000000000001E-10</c:v>
                  </c:pt>
                  <c:pt idx="3">
                    <c:v>4.4520000000000002E-10</c:v>
                  </c:pt>
                  <c:pt idx="4">
                    <c:v>4.1169999999999998E-10</c:v>
                  </c:pt>
                  <c:pt idx="5">
                    <c:v>5.8409999999999998E-10</c:v>
                  </c:pt>
                  <c:pt idx="6">
                    <c:v>5.3470000000000003E-10</c:v>
                  </c:pt>
                  <c:pt idx="7">
                    <c:v>4.3340000000000001E-9</c:v>
                  </c:pt>
                  <c:pt idx="8">
                    <c:v>7.0860000000000001E-10</c:v>
                  </c:pt>
                  <c:pt idx="9">
                    <c:v>8.2949999999999998E-10</c:v>
                  </c:pt>
                  <c:pt idx="10">
                    <c:v>8.1089999999999996E-10</c:v>
                  </c:pt>
                  <c:pt idx="11">
                    <c:v>5.5530000000000002E-9</c:v>
                  </c:pt>
                  <c:pt idx="12">
                    <c:v>8.2090000000000003E-10</c:v>
                  </c:pt>
                  <c:pt idx="13">
                    <c:v>1.055E-9</c:v>
                  </c:pt>
                  <c:pt idx="14">
                    <c:v>5.7029999999999998E-10</c:v>
                  </c:pt>
                  <c:pt idx="15">
                    <c:v>1.0480000000000001E-9</c:v>
                  </c:pt>
                  <c:pt idx="16">
                    <c:v>7.7240000000000002E-9</c:v>
                  </c:pt>
                  <c:pt idx="17">
                    <c:v>1.092E-9</c:v>
                  </c:pt>
                  <c:pt idx="18">
                    <c:v>1.4990000000000001E-9</c:v>
                  </c:pt>
                  <c:pt idx="19">
                    <c:v>1.0709999999999999E-9</c:v>
                  </c:pt>
                  <c:pt idx="20">
                    <c:v>9.5160000000000006E-9</c:v>
                  </c:pt>
                  <c:pt idx="21">
                    <c:v>1.165E-9</c:v>
                  </c:pt>
                  <c:pt idx="22">
                    <c:v>1.312E-9</c:v>
                  </c:pt>
                  <c:pt idx="23">
                    <c:v>1.5529999999999999E-9</c:v>
                  </c:pt>
                  <c:pt idx="24">
                    <c:v>1.301E-9</c:v>
                  </c:pt>
                  <c:pt idx="25">
                    <c:v>1.064E-8</c:v>
                  </c:pt>
                  <c:pt idx="26">
                    <c:v>1.637E-9</c:v>
                  </c:pt>
                  <c:pt idx="27">
                    <c:v>1.5090000000000001E-9</c:v>
                  </c:pt>
                  <c:pt idx="28">
                    <c:v>4.4640000000000003E-9</c:v>
                  </c:pt>
                  <c:pt idx="29">
                    <c:v>8.0919999999999996E-10</c:v>
                  </c:pt>
                  <c:pt idx="30">
                    <c:v>3.3799999999999999E-9</c:v>
                  </c:pt>
                  <c:pt idx="31">
                    <c:v>4.7200000000000002E-10</c:v>
                  </c:pt>
                  <c:pt idx="32">
                    <c:v>5.7340000000000001E-10</c:v>
                  </c:pt>
                  <c:pt idx="33">
                    <c:v>2.69E-10</c:v>
                  </c:pt>
                  <c:pt idx="34">
                    <c:v>2.678E-10</c:v>
                  </c:pt>
                  <c:pt idx="35">
                    <c:v>2.8879999999999997E-10</c:v>
                  </c:pt>
                  <c:pt idx="36">
                    <c:v>1.2130000000000001E-10</c:v>
                  </c:pt>
                  <c:pt idx="37">
                    <c:v>1.966E-10</c:v>
                  </c:pt>
                </c:numCache>
              </c:numRef>
            </c:plus>
            <c:minus>
              <c:numRef>
                <c:f>IC解析!$AB$15:$AB$71</c:f>
                <c:numCache>
                  <c:formatCode>General</c:formatCode>
                  <c:ptCount val="57"/>
                  <c:pt idx="0">
                    <c:v>3.7139999999999998E-10</c:v>
                  </c:pt>
                  <c:pt idx="1">
                    <c:v>5.8930000000000002E-10</c:v>
                  </c:pt>
                  <c:pt idx="2">
                    <c:v>4.2780000000000001E-10</c:v>
                  </c:pt>
                  <c:pt idx="3">
                    <c:v>4.4520000000000002E-10</c:v>
                  </c:pt>
                  <c:pt idx="4">
                    <c:v>4.1169999999999998E-10</c:v>
                  </c:pt>
                  <c:pt idx="5">
                    <c:v>5.8409999999999998E-10</c:v>
                  </c:pt>
                  <c:pt idx="6">
                    <c:v>5.3470000000000003E-10</c:v>
                  </c:pt>
                  <c:pt idx="7">
                    <c:v>4.3340000000000001E-9</c:v>
                  </c:pt>
                  <c:pt idx="8">
                    <c:v>7.0860000000000001E-10</c:v>
                  </c:pt>
                  <c:pt idx="9">
                    <c:v>8.2949999999999998E-10</c:v>
                  </c:pt>
                  <c:pt idx="10">
                    <c:v>8.1089999999999996E-10</c:v>
                  </c:pt>
                  <c:pt idx="11">
                    <c:v>5.5530000000000002E-9</c:v>
                  </c:pt>
                  <c:pt idx="12">
                    <c:v>8.2090000000000003E-10</c:v>
                  </c:pt>
                  <c:pt idx="13">
                    <c:v>1.055E-9</c:v>
                  </c:pt>
                  <c:pt idx="14">
                    <c:v>5.7029999999999998E-10</c:v>
                  </c:pt>
                  <c:pt idx="15">
                    <c:v>1.0480000000000001E-9</c:v>
                  </c:pt>
                  <c:pt idx="16">
                    <c:v>7.7240000000000002E-9</c:v>
                  </c:pt>
                  <c:pt idx="17">
                    <c:v>1.092E-9</c:v>
                  </c:pt>
                  <c:pt idx="18">
                    <c:v>1.4990000000000001E-9</c:v>
                  </c:pt>
                  <c:pt idx="19">
                    <c:v>1.0709999999999999E-9</c:v>
                  </c:pt>
                  <c:pt idx="20">
                    <c:v>9.5160000000000006E-9</c:v>
                  </c:pt>
                  <c:pt idx="21">
                    <c:v>1.165E-9</c:v>
                  </c:pt>
                  <c:pt idx="22">
                    <c:v>1.312E-9</c:v>
                  </c:pt>
                  <c:pt idx="23">
                    <c:v>1.5529999999999999E-9</c:v>
                  </c:pt>
                  <c:pt idx="24">
                    <c:v>1.301E-9</c:v>
                  </c:pt>
                  <c:pt idx="25">
                    <c:v>1.064E-8</c:v>
                  </c:pt>
                  <c:pt idx="26">
                    <c:v>1.637E-9</c:v>
                  </c:pt>
                  <c:pt idx="27">
                    <c:v>1.5090000000000001E-9</c:v>
                  </c:pt>
                  <c:pt idx="28">
                    <c:v>4.4640000000000003E-9</c:v>
                  </c:pt>
                  <c:pt idx="29">
                    <c:v>8.0919999999999996E-10</c:v>
                  </c:pt>
                  <c:pt idx="30">
                    <c:v>3.3799999999999999E-9</c:v>
                  </c:pt>
                  <c:pt idx="31">
                    <c:v>4.7200000000000002E-10</c:v>
                  </c:pt>
                  <c:pt idx="32">
                    <c:v>5.7340000000000001E-10</c:v>
                  </c:pt>
                  <c:pt idx="33">
                    <c:v>2.69E-10</c:v>
                  </c:pt>
                  <c:pt idx="34">
                    <c:v>2.678E-10</c:v>
                  </c:pt>
                  <c:pt idx="35">
                    <c:v>2.8879999999999997E-10</c:v>
                  </c:pt>
                  <c:pt idx="36">
                    <c:v>1.2130000000000001E-10</c:v>
                  </c:pt>
                  <c:pt idx="37">
                    <c:v>1.966E-10</c:v>
                  </c:pt>
                </c:numCache>
              </c:numRef>
            </c:minus>
            <c:spPr>
              <a:ln>
                <a:solidFill>
                  <a:srgbClr val="0000FF"/>
                </a:solidFill>
              </a:ln>
            </c:spPr>
          </c:errBars>
          <c:xVal>
            <c:numRef>
              <c:f>IC解析!$AP$15:$AP$71</c:f>
              <c:numCache>
                <c:formatCode>0.00</c:formatCode>
                <c:ptCount val="57"/>
                <c:pt idx="0">
                  <c:v>3.1269584358606437</c:v>
                </c:pt>
                <c:pt idx="1">
                  <c:v>3.1269584358606437</c:v>
                </c:pt>
                <c:pt idx="2">
                  <c:v>3.2307608326732407</c:v>
                </c:pt>
                <c:pt idx="3">
                  <c:v>3.4619896968452224</c:v>
                </c:pt>
                <c:pt idx="4">
                  <c:v>3.4619896968458193</c:v>
                </c:pt>
                <c:pt idx="5">
                  <c:v>3.890317588891719</c:v>
                </c:pt>
                <c:pt idx="6">
                  <c:v>4.0265727137859813</c:v>
                </c:pt>
                <c:pt idx="7">
                  <c:v>4.2770786935971472</c:v>
                </c:pt>
                <c:pt idx="8">
                  <c:v>4.519990278452255</c:v>
                </c:pt>
                <c:pt idx="9">
                  <c:v>4.7931028239556923</c:v>
                </c:pt>
                <c:pt idx="10">
                  <c:v>5.1329445243052163</c:v>
                </c:pt>
                <c:pt idx="11">
                  <c:v>5.4184299335766042</c:v>
                </c:pt>
                <c:pt idx="12">
                  <c:v>5.8838064650492328</c:v>
                </c:pt>
                <c:pt idx="13">
                  <c:v>6.4537757331347834</c:v>
                </c:pt>
                <c:pt idx="14">
                  <c:v>7.1392980389148022</c:v>
                </c:pt>
                <c:pt idx="15">
                  <c:v>7.9098907802272436</c:v>
                </c:pt>
                <c:pt idx="16">
                  <c:v>8.3278102673268535</c:v>
                </c:pt>
                <c:pt idx="17">
                  <c:v>8.760570403224925</c:v>
                </c:pt>
                <c:pt idx="18">
                  <c:v>9.0934063331787058</c:v>
                </c:pt>
                <c:pt idx="19">
                  <c:v>9.7227393692762121</c:v>
                </c:pt>
                <c:pt idx="20">
                  <c:v>10.119559359008139</c:v>
                </c:pt>
                <c:pt idx="21">
                  <c:v>10.468616508882317</c:v>
                </c:pt>
                <c:pt idx="22">
                  <c:v>10.60742062315601</c:v>
                </c:pt>
                <c:pt idx="23">
                  <c:v>10.770634612409332</c:v>
                </c:pt>
                <c:pt idx="24">
                  <c:v>10.984216601890514</c:v>
                </c:pt>
                <c:pt idx="25">
                  <c:v>11.271594361823706</c:v>
                </c:pt>
                <c:pt idx="26">
                  <c:v>11.271594361823745</c:v>
                </c:pt>
                <c:pt idx="27">
                  <c:v>11.170561836132599</c:v>
                </c:pt>
                <c:pt idx="28">
                  <c:v>7.8728429225339749</c:v>
                </c:pt>
                <c:pt idx="29">
                  <c:v>3.7831549853948898</c:v>
                </c:pt>
                <c:pt idx="30">
                  <c:v>1.744977211122819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xVal>
          <c:yVal>
            <c:numRef>
              <c:f>IC解析!$AT$15:$AT$71</c:f>
              <c:numCache>
                <c:formatCode>0.00E+00</c:formatCode>
                <c:ptCount val="57"/>
                <c:pt idx="0">
                  <c:v>1.2295263559050063E-8</c:v>
                </c:pt>
                <c:pt idx="1">
                  <c:v>1.2972637212296794E-8</c:v>
                </c:pt>
                <c:pt idx="2">
                  <c:v>1.384124151425605E-8</c:v>
                </c:pt>
                <c:pt idx="3">
                  <c:v>1.4227867527209631E-8</c:v>
                </c:pt>
                <c:pt idx="4">
                  <c:v>1.4749436724565754E-8</c:v>
                </c:pt>
                <c:pt idx="5">
                  <c:v>1.5525552511293468E-8</c:v>
                </c:pt>
                <c:pt idx="6">
                  <c:v>1.6682913794501661E-8</c:v>
                </c:pt>
                <c:pt idx="7">
                  <c:v>1.5599100191194436E-8</c:v>
                </c:pt>
                <c:pt idx="8">
                  <c:v>1.7943550480957223E-8</c:v>
                </c:pt>
                <c:pt idx="9">
                  <c:v>2.0316292427497312E-8</c:v>
                </c:pt>
                <c:pt idx="10">
                  <c:v>2.1079677693192395E-8</c:v>
                </c:pt>
                <c:pt idx="11">
                  <c:v>2.0390768825910929E-8</c:v>
                </c:pt>
                <c:pt idx="12">
                  <c:v>2.3265817955712448E-8</c:v>
                </c:pt>
                <c:pt idx="13">
                  <c:v>2.5194621510760708E-8</c:v>
                </c:pt>
                <c:pt idx="14">
                  <c:v>2.7609225658238639E-8</c:v>
                </c:pt>
                <c:pt idx="15">
                  <c:v>2.8902170611091487E-8</c:v>
                </c:pt>
                <c:pt idx="16">
                  <c:v>2.742346706782476E-8</c:v>
                </c:pt>
                <c:pt idx="17">
                  <c:v>3.1315922649631994E-8</c:v>
                </c:pt>
                <c:pt idx="18">
                  <c:v>3.1862139219015277E-8</c:v>
                </c:pt>
                <c:pt idx="19">
                  <c:v>3.4316523735538105E-8</c:v>
                </c:pt>
                <c:pt idx="20">
                  <c:v>3.3226376931339331E-8</c:v>
                </c:pt>
                <c:pt idx="21">
                  <c:v>3.7442714117268722E-8</c:v>
                </c:pt>
                <c:pt idx="22">
                  <c:v>3.8970214817085058E-8</c:v>
                </c:pt>
                <c:pt idx="23">
                  <c:v>3.9423048130557242E-8</c:v>
                </c:pt>
                <c:pt idx="24">
                  <c:v>4.0455017895291726E-8</c:v>
                </c:pt>
                <c:pt idx="25">
                  <c:v>3.7589010543050785E-8</c:v>
                </c:pt>
                <c:pt idx="26">
                  <c:v>4.1686446103238867E-8</c:v>
                </c:pt>
                <c:pt idx="27">
                  <c:v>3.8684825832697688E-8</c:v>
                </c:pt>
                <c:pt idx="28">
                  <c:v>2.6396474203151885E-8</c:v>
                </c:pt>
                <c:pt idx="29">
                  <c:v>2.081251273344652E-8</c:v>
                </c:pt>
                <c:pt idx="30">
                  <c:v>1.1387952212825353E-8</c:v>
                </c:pt>
                <c:pt idx="31">
                  <c:v>7.8266390275845116E-9</c:v>
                </c:pt>
                <c:pt idx="32">
                  <c:v>2.5819158473105836E-9</c:v>
                </c:pt>
                <c:pt idx="33">
                  <c:v>1.1363698460953829E-9</c:v>
                </c:pt>
                <c:pt idx="34">
                  <c:v>6.8704306938934039E-10</c:v>
                </c:pt>
                <c:pt idx="35">
                  <c:v>6.1423944197844017E-10</c:v>
                </c:pt>
                <c:pt idx="36">
                  <c:v>3.5460544783010154E-10</c:v>
                </c:pt>
                <c:pt idx="37">
                  <c:v>3.7060686919504644E-10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B4-4BEC-A04F-86F371AEB8A6}"/>
            </c:ext>
          </c:extLst>
        </c:ser>
        <c:ser>
          <c:idx val="1"/>
          <c:order val="1"/>
          <c:tx>
            <c:v>fit_norm</c:v>
          </c:tx>
          <c:spPr>
            <a:ln w="12700">
              <a:solidFill>
                <a:srgbClr val="008000"/>
              </a:solidFill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noFill/>
              </a:ln>
            </c:spPr>
          </c:marker>
          <c:xVal>
            <c:numRef>
              <c:f>IC解析!$AS$80:$AS$87</c:f>
              <c:numCache>
                <c:formatCode>General</c:formatCode>
                <c:ptCount val="8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</c:numCache>
            </c:numRef>
          </c:xVal>
          <c:yVal>
            <c:numRef>
              <c:f>IC解析!$AT$80:$AT$87</c:f>
              <c:numCache>
                <c:formatCode>0.00E+00</c:formatCode>
                <c:ptCount val="8"/>
                <c:pt idx="0">
                  <c:v>3.214100432655081E-9</c:v>
                </c:pt>
                <c:pt idx="1">
                  <c:v>4.5582556355213132E-9</c:v>
                </c:pt>
                <c:pt idx="2">
                  <c:v>6.2384496391041036E-9</c:v>
                </c:pt>
                <c:pt idx="3">
                  <c:v>9.5988376462696843E-9</c:v>
                </c:pt>
                <c:pt idx="4">
                  <c:v>1.968000166776643E-8</c:v>
                </c:pt>
                <c:pt idx="5">
                  <c:v>3.6481941703594336E-8</c:v>
                </c:pt>
                <c:pt idx="6">
                  <c:v>4.3202717717925498E-8</c:v>
                </c:pt>
                <c:pt idx="7">
                  <c:v>5.3283881739422236E-8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B4-4BEC-A04F-86F371AEB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28544"/>
        <c:axId val="42830848"/>
      </c:scatterChart>
      <c:valAx>
        <c:axId val="42828544"/>
        <c:scaling>
          <c:orientation val="minMax"/>
          <c:max val="15"/>
          <c:min val="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 algn="l">
                  <a:defRPr b="1">
                    <a:latin typeface="+mn-ea"/>
                    <a:ea typeface="+mn-ea"/>
                  </a:defRPr>
                </a:pPr>
                <a:r>
                  <a:rPr lang="ja-JP" altLang="en-US" b="1" baseline="0">
                    <a:latin typeface="+mn-ea"/>
                    <a:ea typeface="+mn-ea"/>
                  </a:rPr>
                  <a:t>⊿</a:t>
                </a:r>
                <a:r>
                  <a:rPr lang="en-US" altLang="ja-JP" b="1" baseline="0">
                    <a:latin typeface="+mn-ea"/>
                    <a:ea typeface="+mn-ea"/>
                  </a:rPr>
                  <a:t>E</a:t>
                </a:r>
                <a:r>
                  <a:rPr lang="ja-JP" altLang="en-US" b="1" baseline="0">
                    <a:latin typeface="+mn-ea"/>
                    <a:ea typeface="+mn-ea"/>
                  </a:rPr>
                  <a:t> </a:t>
                </a:r>
                <a:r>
                  <a:rPr lang="en-US" altLang="ja-JP" b="1" baseline="0">
                    <a:latin typeface="+mn-ea"/>
                    <a:ea typeface="+mn-ea"/>
                  </a:rPr>
                  <a:t>IC2</a:t>
                </a:r>
                <a:r>
                  <a:rPr lang="ja-JP" altLang="en-US" b="1" baseline="0">
                    <a:latin typeface="+mn-ea"/>
                    <a:ea typeface="+mn-ea"/>
                  </a:rPr>
                  <a:t> </a:t>
                </a:r>
                <a:r>
                  <a:rPr lang="en-US" altLang="ja-JP" b="1" baseline="0">
                    <a:latin typeface="+mn-ea"/>
                    <a:ea typeface="+mn-ea"/>
                  </a:rPr>
                  <a:t>SRIM calc.  [MeV]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r>
                  <a:rPr lang="ja-JP" altLang="en-US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⊿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Eclc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21632376543209877"/>
              <c:y val="0.94259102564102559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830848"/>
        <c:crosses val="autoZero"/>
        <c:crossBetween val="midCat"/>
      </c:valAx>
      <c:valAx>
        <c:axId val="42830848"/>
        <c:scaling>
          <c:orientation val="minMax"/>
          <c:max val="6.0000000000000034E-8"/>
          <c:min val="0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ja-JP" altLang="en-US">
                    <a:latin typeface="+mn-ea"/>
                    <a:ea typeface="+mn-ea"/>
                  </a:rPr>
                  <a:t>Ｉ</a:t>
                </a:r>
                <a:r>
                  <a:rPr lang="en-US" altLang="ja-JP">
                    <a:latin typeface="+mn-ea"/>
                    <a:ea typeface="+mn-ea"/>
                  </a:rPr>
                  <a:t>C2 Measured Current</a:t>
                </a:r>
                <a:r>
                  <a:rPr lang="en-US" altLang="ja-JP" baseline="0">
                    <a:latin typeface="+mn-ea"/>
                    <a:ea typeface="+mn-ea"/>
                  </a:rPr>
                  <a:t> </a:t>
                </a:r>
                <a:r>
                  <a:rPr lang="ja-JP" altLang="en-US" baseline="0"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latin typeface="+mn-ea"/>
                    <a:ea typeface="+mn-ea"/>
                  </a:rPr>
                  <a:t>[A] </a:t>
                </a:r>
                <a:r>
                  <a:rPr lang="ja-JP" altLang="en-US" baseline="0">
                    <a:solidFill>
                      <a:srgbClr val="C00000"/>
                    </a:solidFill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IC2norm</a:t>
                </a:r>
                <a:endParaRPr lang="ja-JP" altLang="en-US">
                  <a:solidFill>
                    <a:srgbClr val="0000FF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"/>
              <c:y val="0.23975115740740741"/>
            </c:manualLayout>
          </c:layout>
          <c:overlay val="0"/>
        </c:title>
        <c:numFmt formatCode="0E+0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828544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5452438271604938"/>
          <c:y val="8.3112179487179499E-2"/>
          <c:w val="0.40977901234567904"/>
          <c:h val="0.10475763888888889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IC解析!$BF$87</c:f>
          <c:strCache>
            <c:ptCount val="1"/>
            <c:pt idx="0">
              <c:v>IC1[A] raw</c:v>
            </c:pt>
          </c:strCache>
        </c:strRef>
      </c:tx>
      <c:layout>
        <c:manualLayout>
          <c:xMode val="edge"/>
          <c:yMode val="edge"/>
          <c:x val="0.21724097222222222"/>
          <c:y val="2.0542222222222229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580439814814811"/>
          <c:y val="4.7592592592592596E-2"/>
          <c:w val="0.76080856481481485"/>
          <c:h val="0.69572500000000004"/>
        </c:manualLayout>
      </c:layout>
      <c:scatterChart>
        <c:scatterStyle val="smoothMarker"/>
        <c:varyColors val="0"/>
        <c:ser>
          <c:idx val="0"/>
          <c:order val="0"/>
          <c:tx>
            <c:v>IC1[A]</c:v>
          </c:tx>
          <c:spPr>
            <a:ln>
              <a:noFill/>
            </a:ln>
          </c:spPr>
          <c:marker>
            <c:symbol val="square"/>
            <c:size val="6"/>
            <c:spPr>
              <a:noFill/>
              <a:ln>
                <a:solidFill>
                  <a:srgbClr val="00CC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IC解析!$Z$15:$Z$71</c:f>
                <c:numCache>
                  <c:formatCode>General</c:formatCode>
                  <c:ptCount val="57"/>
                  <c:pt idx="0">
                    <c:v>7.2810000000000001E-8</c:v>
                  </c:pt>
                  <c:pt idx="1">
                    <c:v>8.8349999999999994E-8</c:v>
                  </c:pt>
                  <c:pt idx="2">
                    <c:v>8.2170000000000001E-8</c:v>
                  </c:pt>
                  <c:pt idx="3">
                    <c:v>5.3349999999999998E-8</c:v>
                  </c:pt>
                  <c:pt idx="4">
                    <c:v>6.3510000000000004E-8</c:v>
                  </c:pt>
                  <c:pt idx="5">
                    <c:v>6.5540000000000003E-8</c:v>
                  </c:pt>
                  <c:pt idx="6">
                    <c:v>6.4049999999999995E-8</c:v>
                  </c:pt>
                  <c:pt idx="7">
                    <c:v>8.762E-8</c:v>
                  </c:pt>
                  <c:pt idx="8">
                    <c:v>8.2170000000000001E-8</c:v>
                  </c:pt>
                  <c:pt idx="9">
                    <c:v>3.9039999999999998E-8</c:v>
                  </c:pt>
                  <c:pt idx="10">
                    <c:v>6.2470000000000003E-8</c:v>
                  </c:pt>
                  <c:pt idx="11">
                    <c:v>5.404E-8</c:v>
                  </c:pt>
                  <c:pt idx="12">
                    <c:v>6.1690000000000005E-8</c:v>
                  </c:pt>
                  <c:pt idx="13">
                    <c:v>6.4659999999999998E-8</c:v>
                  </c:pt>
                  <c:pt idx="14">
                    <c:v>7.2429999999999994E-8</c:v>
                  </c:pt>
                  <c:pt idx="15">
                    <c:v>6.514E-8</c:v>
                  </c:pt>
                  <c:pt idx="16">
                    <c:v>8.4320000000000003E-8</c:v>
                  </c:pt>
                  <c:pt idx="17">
                    <c:v>6.9320000000000001E-8</c:v>
                  </c:pt>
                  <c:pt idx="18">
                    <c:v>6.8789999999999996E-8</c:v>
                  </c:pt>
                  <c:pt idx="19">
                    <c:v>6.032E-8</c:v>
                  </c:pt>
                  <c:pt idx="20">
                    <c:v>7.7190000000000005E-8</c:v>
                  </c:pt>
                  <c:pt idx="21">
                    <c:v>3.501E-8</c:v>
                  </c:pt>
                  <c:pt idx="22">
                    <c:v>4.6490000000000001E-8</c:v>
                  </c:pt>
                  <c:pt idx="23">
                    <c:v>6.3310000000000002E-8</c:v>
                  </c:pt>
                  <c:pt idx="24">
                    <c:v>4.6569999999999999E-8</c:v>
                  </c:pt>
                  <c:pt idx="25">
                    <c:v>5.1399999999999997E-8</c:v>
                  </c:pt>
                  <c:pt idx="26">
                    <c:v>3.627E-8</c:v>
                  </c:pt>
                  <c:pt idx="27">
                    <c:v>8.9299999999999999E-8</c:v>
                  </c:pt>
                  <c:pt idx="28">
                    <c:v>6.8579999999999996E-8</c:v>
                  </c:pt>
                  <c:pt idx="29">
                    <c:v>3.9809999999999997E-8</c:v>
                  </c:pt>
                  <c:pt idx="30">
                    <c:v>4.4120000000000001E-8</c:v>
                  </c:pt>
                  <c:pt idx="31">
                    <c:v>7.8230000000000006E-8</c:v>
                  </c:pt>
                  <c:pt idx="32">
                    <c:v>4.252E-8</c:v>
                  </c:pt>
                  <c:pt idx="33">
                    <c:v>6.9709999999999994E-8</c:v>
                  </c:pt>
                  <c:pt idx="34">
                    <c:v>5.7270000000000003E-8</c:v>
                  </c:pt>
                  <c:pt idx="35">
                    <c:v>7.1120000000000004E-8</c:v>
                  </c:pt>
                  <c:pt idx="36">
                    <c:v>6.0290000000000006E-8</c:v>
                  </c:pt>
                  <c:pt idx="37">
                    <c:v>3.8080000000000001E-8</c:v>
                  </c:pt>
                </c:numCache>
              </c:numRef>
            </c:plus>
            <c:minus>
              <c:numRef>
                <c:f>IC解析!$Z$15:$Z$71</c:f>
                <c:numCache>
                  <c:formatCode>General</c:formatCode>
                  <c:ptCount val="57"/>
                  <c:pt idx="0">
                    <c:v>7.2810000000000001E-8</c:v>
                  </c:pt>
                  <c:pt idx="1">
                    <c:v>8.8349999999999994E-8</c:v>
                  </c:pt>
                  <c:pt idx="2">
                    <c:v>8.2170000000000001E-8</c:v>
                  </c:pt>
                  <c:pt idx="3">
                    <c:v>5.3349999999999998E-8</c:v>
                  </c:pt>
                  <c:pt idx="4">
                    <c:v>6.3510000000000004E-8</c:v>
                  </c:pt>
                  <c:pt idx="5">
                    <c:v>6.5540000000000003E-8</c:v>
                  </c:pt>
                  <c:pt idx="6">
                    <c:v>6.4049999999999995E-8</c:v>
                  </c:pt>
                  <c:pt idx="7">
                    <c:v>8.762E-8</c:v>
                  </c:pt>
                  <c:pt idx="8">
                    <c:v>8.2170000000000001E-8</c:v>
                  </c:pt>
                  <c:pt idx="9">
                    <c:v>3.9039999999999998E-8</c:v>
                  </c:pt>
                  <c:pt idx="10">
                    <c:v>6.2470000000000003E-8</c:v>
                  </c:pt>
                  <c:pt idx="11">
                    <c:v>5.404E-8</c:v>
                  </c:pt>
                  <c:pt idx="12">
                    <c:v>6.1690000000000005E-8</c:v>
                  </c:pt>
                  <c:pt idx="13">
                    <c:v>6.4659999999999998E-8</c:v>
                  </c:pt>
                  <c:pt idx="14">
                    <c:v>7.2429999999999994E-8</c:v>
                  </c:pt>
                  <c:pt idx="15">
                    <c:v>6.514E-8</c:v>
                  </c:pt>
                  <c:pt idx="16">
                    <c:v>8.4320000000000003E-8</c:v>
                  </c:pt>
                  <c:pt idx="17">
                    <c:v>6.9320000000000001E-8</c:v>
                  </c:pt>
                  <c:pt idx="18">
                    <c:v>6.8789999999999996E-8</c:v>
                  </c:pt>
                  <c:pt idx="19">
                    <c:v>6.032E-8</c:v>
                  </c:pt>
                  <c:pt idx="20">
                    <c:v>7.7190000000000005E-8</c:v>
                  </c:pt>
                  <c:pt idx="21">
                    <c:v>3.501E-8</c:v>
                  </c:pt>
                  <c:pt idx="22">
                    <c:v>4.6490000000000001E-8</c:v>
                  </c:pt>
                  <c:pt idx="23">
                    <c:v>6.3310000000000002E-8</c:v>
                  </c:pt>
                  <c:pt idx="24">
                    <c:v>4.6569999999999999E-8</c:v>
                  </c:pt>
                  <c:pt idx="25">
                    <c:v>5.1399999999999997E-8</c:v>
                  </c:pt>
                  <c:pt idx="26">
                    <c:v>3.627E-8</c:v>
                  </c:pt>
                  <c:pt idx="27">
                    <c:v>8.9299999999999999E-8</c:v>
                  </c:pt>
                  <c:pt idx="28">
                    <c:v>6.8579999999999996E-8</c:v>
                  </c:pt>
                  <c:pt idx="29">
                    <c:v>3.9809999999999997E-8</c:v>
                  </c:pt>
                  <c:pt idx="30">
                    <c:v>4.4120000000000001E-8</c:v>
                  </c:pt>
                  <c:pt idx="31">
                    <c:v>7.8230000000000006E-8</c:v>
                  </c:pt>
                  <c:pt idx="32">
                    <c:v>4.252E-8</c:v>
                  </c:pt>
                  <c:pt idx="33">
                    <c:v>6.9709999999999994E-8</c:v>
                  </c:pt>
                  <c:pt idx="34">
                    <c:v>5.7270000000000003E-8</c:v>
                  </c:pt>
                  <c:pt idx="35">
                    <c:v>7.1120000000000004E-8</c:v>
                  </c:pt>
                  <c:pt idx="36">
                    <c:v>6.0290000000000006E-8</c:v>
                  </c:pt>
                  <c:pt idx="37">
                    <c:v>3.8080000000000001E-8</c:v>
                  </c:pt>
                </c:numCache>
              </c:numRef>
            </c:minus>
            <c:spPr>
              <a:ln>
                <a:solidFill>
                  <a:srgbClr val="00CC00"/>
                </a:solidFill>
              </a:ln>
            </c:spPr>
          </c:errBars>
          <c:xVal>
            <c:numRef>
              <c:f>IC解析!$V$15:$V$71</c:f>
              <c:numCache>
                <c:formatCode>0.0</c:formatCode>
                <c:ptCount val="57"/>
                <c:pt idx="0">
                  <c:v>0</c:v>
                </c:pt>
                <c:pt idx="1">
                  <c:v>72.39</c:v>
                </c:pt>
                <c:pt idx="2">
                  <c:v>148.82999999999998</c:v>
                </c:pt>
                <c:pt idx="3">
                  <c:v>224.83999999999997</c:v>
                </c:pt>
                <c:pt idx="4">
                  <c:v>302.11</c:v>
                </c:pt>
                <c:pt idx="5">
                  <c:v>369.58</c:v>
                </c:pt>
                <c:pt idx="6">
                  <c:v>434.03</c:v>
                </c:pt>
                <c:pt idx="7">
                  <c:v>485.95</c:v>
                </c:pt>
                <c:pt idx="8">
                  <c:v>534.54</c:v>
                </c:pt>
                <c:pt idx="9">
                  <c:v>609.99</c:v>
                </c:pt>
                <c:pt idx="10">
                  <c:v>648.14</c:v>
                </c:pt>
                <c:pt idx="11">
                  <c:v>682.33999999999992</c:v>
                </c:pt>
                <c:pt idx="12">
                  <c:v>706.14</c:v>
                </c:pt>
                <c:pt idx="13">
                  <c:v>748.38</c:v>
                </c:pt>
                <c:pt idx="14">
                  <c:v>777.73</c:v>
                </c:pt>
                <c:pt idx="15">
                  <c:v>795.94</c:v>
                </c:pt>
                <c:pt idx="16">
                  <c:v>806.94</c:v>
                </c:pt>
                <c:pt idx="17">
                  <c:v>816.57999999999993</c:v>
                </c:pt>
                <c:pt idx="18">
                  <c:v>829.37999999999988</c:v>
                </c:pt>
                <c:pt idx="19">
                  <c:v>843.97</c:v>
                </c:pt>
                <c:pt idx="20">
                  <c:v>854.97</c:v>
                </c:pt>
                <c:pt idx="21">
                  <c:v>865.17</c:v>
                </c:pt>
                <c:pt idx="22">
                  <c:v>868.32999999999993</c:v>
                </c:pt>
                <c:pt idx="23">
                  <c:v>873.25</c:v>
                </c:pt>
                <c:pt idx="24">
                  <c:v>877.97</c:v>
                </c:pt>
                <c:pt idx="25">
                  <c:v>883.37999999999988</c:v>
                </c:pt>
                <c:pt idx="26">
                  <c:v>884.01</c:v>
                </c:pt>
                <c:pt idx="27">
                  <c:v>888.8599999999999</c:v>
                </c:pt>
                <c:pt idx="28">
                  <c:v>893.57999999999993</c:v>
                </c:pt>
                <c:pt idx="29">
                  <c:v>896.18</c:v>
                </c:pt>
                <c:pt idx="30">
                  <c:v>899.06</c:v>
                </c:pt>
                <c:pt idx="31">
                  <c:v>901.66</c:v>
                </c:pt>
                <c:pt idx="32">
                  <c:v>906.37999999999988</c:v>
                </c:pt>
                <c:pt idx="33">
                  <c:v>911.8599999999999</c:v>
                </c:pt>
                <c:pt idx="34">
                  <c:v>917.38</c:v>
                </c:pt>
                <c:pt idx="35">
                  <c:v>919.98</c:v>
                </c:pt>
                <c:pt idx="36">
                  <c:v>930.18</c:v>
                </c:pt>
                <c:pt idx="37">
                  <c:v>935.66</c:v>
                </c:pt>
              </c:numCache>
            </c:numRef>
          </c:xVal>
          <c:yVal>
            <c:numRef>
              <c:f>IC解析!$Y$15:$Y$71</c:f>
              <c:numCache>
                <c:formatCode>0.00E+00</c:formatCode>
                <c:ptCount val="57"/>
                <c:pt idx="0">
                  <c:v>1.968E-6</c:v>
                </c:pt>
                <c:pt idx="1">
                  <c:v>1.962E-6</c:v>
                </c:pt>
                <c:pt idx="2">
                  <c:v>1.9769999999999999E-6</c:v>
                </c:pt>
                <c:pt idx="3">
                  <c:v>2.0020000000000001E-6</c:v>
                </c:pt>
                <c:pt idx="4">
                  <c:v>2.0150000000000002E-6</c:v>
                </c:pt>
                <c:pt idx="5">
                  <c:v>1.9690000000000001E-6</c:v>
                </c:pt>
                <c:pt idx="6">
                  <c:v>1.9470000000000002E-6</c:v>
                </c:pt>
                <c:pt idx="7">
                  <c:v>1.9819999999999998E-6</c:v>
                </c:pt>
                <c:pt idx="8">
                  <c:v>2.0190000000000001E-6</c:v>
                </c:pt>
                <c:pt idx="9">
                  <c:v>1.9599999999999999E-6</c:v>
                </c:pt>
                <c:pt idx="10">
                  <c:v>1.922E-6</c:v>
                </c:pt>
                <c:pt idx="11">
                  <c:v>1.95E-6</c:v>
                </c:pt>
                <c:pt idx="12">
                  <c:v>1.968E-6</c:v>
                </c:pt>
                <c:pt idx="13">
                  <c:v>1.9759999999999998E-6</c:v>
                </c:pt>
                <c:pt idx="14">
                  <c:v>1.9130000000000001E-6</c:v>
                </c:pt>
                <c:pt idx="15">
                  <c:v>1.9369999999999998E-6</c:v>
                </c:pt>
                <c:pt idx="16">
                  <c:v>1.933E-6</c:v>
                </c:pt>
                <c:pt idx="17">
                  <c:v>1.8950000000000001E-6</c:v>
                </c:pt>
                <c:pt idx="18">
                  <c:v>1.891E-6</c:v>
                </c:pt>
                <c:pt idx="19">
                  <c:v>1.897E-6</c:v>
                </c:pt>
                <c:pt idx="20">
                  <c:v>1.911E-6</c:v>
                </c:pt>
                <c:pt idx="21">
                  <c:v>1.9640000000000002E-6</c:v>
                </c:pt>
                <c:pt idx="22">
                  <c:v>1.889E-6</c:v>
                </c:pt>
                <c:pt idx="23">
                  <c:v>1.906E-6</c:v>
                </c:pt>
                <c:pt idx="24">
                  <c:v>1.897E-6</c:v>
                </c:pt>
                <c:pt idx="25">
                  <c:v>1.8870000000000001E-6</c:v>
                </c:pt>
                <c:pt idx="26">
                  <c:v>1.872E-6</c:v>
                </c:pt>
                <c:pt idx="27">
                  <c:v>1.863E-6</c:v>
                </c:pt>
                <c:pt idx="28">
                  <c:v>1.9269999999999999E-6</c:v>
                </c:pt>
                <c:pt idx="29">
                  <c:v>1.891E-6</c:v>
                </c:pt>
                <c:pt idx="30">
                  <c:v>1.9230000000000001E-6</c:v>
                </c:pt>
                <c:pt idx="31">
                  <c:v>1.9290000000000001E-6</c:v>
                </c:pt>
                <c:pt idx="32">
                  <c:v>1.911E-6</c:v>
                </c:pt>
                <c:pt idx="33">
                  <c:v>1.939E-6</c:v>
                </c:pt>
                <c:pt idx="34">
                  <c:v>1.897E-6</c:v>
                </c:pt>
                <c:pt idx="35">
                  <c:v>1.9089999999999998E-6</c:v>
                </c:pt>
                <c:pt idx="36">
                  <c:v>1.8810000000000001E-6</c:v>
                </c:pt>
                <c:pt idx="37">
                  <c:v>1.9039999999999999E-6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C1-46F2-B36C-DB9853CB4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77312"/>
        <c:axId val="42879232"/>
      </c:scatterChart>
      <c:valAx>
        <c:axId val="42877312"/>
        <c:scaling>
          <c:orientation val="minMax"/>
          <c:max val="950"/>
          <c:min val="700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latin typeface="+mn-ea"/>
                    <a:ea typeface="+mn-ea"/>
                  </a:defRPr>
                </a:pPr>
                <a:r>
                  <a:rPr lang="en-US" altLang="ja-JP" b="1" baseline="0">
                    <a:latin typeface="+mn-ea"/>
                    <a:ea typeface="+mn-ea"/>
                  </a:rPr>
                  <a:t>Edeg  [μm] </a:t>
                </a:r>
                <a:r>
                  <a:rPr lang="en-US" altLang="ja-JP" b="1" baseline="0">
                    <a:solidFill>
                      <a:srgbClr val="C00000"/>
                    </a:solidFill>
                    <a:latin typeface="+mn-ea"/>
                    <a:ea typeface="+mn-ea"/>
                  </a:rPr>
                  <a:t> Th0</a:t>
                </a:r>
                <a:endParaRPr lang="ja-JP" altLang="en-US" b="1">
                  <a:solidFill>
                    <a:srgbClr val="C00000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39871226851851854"/>
              <c:y val="0.94203657407407404"/>
            </c:manualLayout>
          </c:layout>
          <c:overlay val="0"/>
        </c:title>
        <c:numFmt formatCode="General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879232"/>
        <c:crosses val="autoZero"/>
        <c:crossBetween val="midCat"/>
      </c:valAx>
      <c:valAx>
        <c:axId val="42879232"/>
        <c:scaling>
          <c:orientation val="minMax"/>
          <c:max val="5.0000000000000013E-6"/>
          <c:min val="1.7E-6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r>
                  <a:rPr lang="en-US" altLang="ja-JP" baseline="0">
                    <a:solidFill>
                      <a:schemeClr val="tx1"/>
                    </a:solidFill>
                    <a:latin typeface="+mn-ea"/>
                    <a:ea typeface="+mn-ea"/>
                  </a:rPr>
                  <a:t>IC1 [A]</a:t>
                </a:r>
                <a:r>
                  <a:rPr lang="ja-JP" altLang="en-US" baseline="0">
                    <a:solidFill>
                      <a:schemeClr val="tx1"/>
                    </a:solidFill>
                    <a:latin typeface="+mn-ea"/>
                    <a:ea typeface="+mn-ea"/>
                  </a:rPr>
                  <a:t> </a:t>
                </a:r>
                <a:r>
                  <a:rPr lang="en-US" altLang="ja-JP" baseline="0">
                    <a:solidFill>
                      <a:srgbClr val="0000FF"/>
                    </a:solidFill>
                    <a:latin typeface="+mn-ea"/>
                    <a:ea typeface="+mn-ea"/>
                  </a:rPr>
                  <a:t>raw</a:t>
                </a:r>
                <a:endParaRPr lang="ja-JP" altLang="en-US">
                  <a:solidFill>
                    <a:srgbClr val="0000FF"/>
                  </a:solidFill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1.6402777777777776E-3"/>
              <c:y val="0.22054722222222223"/>
            </c:manualLayout>
          </c:layout>
          <c:overlay val="0"/>
        </c:title>
        <c:numFmt formatCode="0.0E+0" sourceLinked="0"/>
        <c:majorTickMark val="cross"/>
        <c:minorTickMark val="out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42877312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977766203703703"/>
          <c:y val="0.60548611111111106"/>
          <c:w val="0.16812476851851851"/>
          <c:h val="0.11819598765432097"/>
        </c:manualLayout>
      </c:layout>
      <c:overlay val="0"/>
      <c:spPr>
        <a:noFill/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226218</xdr:colOff>
      <xdr:row>13</xdr:row>
      <xdr:rowOff>115094</xdr:rowOff>
    </xdr:from>
    <xdr:to>
      <xdr:col>32</xdr:col>
      <xdr:colOff>491156</xdr:colOff>
      <xdr:row>33</xdr:row>
      <xdr:rowOff>21344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23</xdr:col>
      <xdr:colOff>250031</xdr:colOff>
      <xdr:row>34</xdr:row>
      <xdr:rowOff>59532</xdr:rowOff>
    </xdr:from>
    <xdr:to>
      <xdr:col>32</xdr:col>
      <xdr:colOff>514969</xdr:colOff>
      <xdr:row>53</xdr:row>
      <xdr:rowOff>132469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27213</xdr:colOff>
      <xdr:row>110</xdr:row>
      <xdr:rowOff>27215</xdr:rowOff>
    </xdr:from>
    <xdr:to>
      <xdr:col>45</xdr:col>
      <xdr:colOff>289927</xdr:colOff>
      <xdr:row>132</xdr:row>
      <xdr:rowOff>34929</xdr:rowOff>
    </xdr:to>
    <xdr:graphicFrame macro="">
      <xdr:nvGraphicFramePr>
        <xdr:cNvPr id="2" name="Gr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52</xdr:col>
      <xdr:colOff>27216</xdr:colOff>
      <xdr:row>124</xdr:row>
      <xdr:rowOff>108857</xdr:rowOff>
    </xdr:from>
    <xdr:to>
      <xdr:col>63</xdr:col>
      <xdr:colOff>138074</xdr:colOff>
      <xdr:row>135</xdr:row>
      <xdr:rowOff>112714</xdr:rowOff>
    </xdr:to>
    <xdr:graphicFrame macro="">
      <xdr:nvGraphicFramePr>
        <xdr:cNvPr id="3" name="Gr8w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52</xdr:col>
      <xdr:colOff>27214</xdr:colOff>
      <xdr:row>106</xdr:row>
      <xdr:rowOff>18144</xdr:rowOff>
    </xdr:from>
    <xdr:to>
      <xdr:col>63</xdr:col>
      <xdr:colOff>138072</xdr:colOff>
      <xdr:row>123</xdr:row>
      <xdr:rowOff>122287</xdr:rowOff>
    </xdr:to>
    <xdr:graphicFrame macro="">
      <xdr:nvGraphicFramePr>
        <xdr:cNvPr id="4" name="Gr7w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52</xdr:col>
      <xdr:colOff>45359</xdr:colOff>
      <xdr:row>94</xdr:row>
      <xdr:rowOff>63500</xdr:rowOff>
    </xdr:from>
    <xdr:to>
      <xdr:col>63</xdr:col>
      <xdr:colOff>156217</xdr:colOff>
      <xdr:row>105</xdr:row>
      <xdr:rowOff>67357</xdr:rowOff>
    </xdr:to>
    <xdr:graphicFrame macro="">
      <xdr:nvGraphicFramePr>
        <xdr:cNvPr id="5" name="Gr6w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64</xdr:col>
      <xdr:colOff>27214</xdr:colOff>
      <xdr:row>79</xdr:row>
      <xdr:rowOff>18143</xdr:rowOff>
    </xdr:from>
    <xdr:to>
      <xdr:col>77</xdr:col>
      <xdr:colOff>192499</xdr:colOff>
      <xdr:row>105</xdr:row>
      <xdr:rowOff>92714</xdr:rowOff>
    </xdr:to>
    <xdr:graphicFrame macro="">
      <xdr:nvGraphicFramePr>
        <xdr:cNvPr id="6" name="Gr5rw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31</xdr:col>
      <xdr:colOff>188230</xdr:colOff>
      <xdr:row>80</xdr:row>
      <xdr:rowOff>128133</xdr:rowOff>
    </xdr:from>
    <xdr:to>
      <xdr:col>39</xdr:col>
      <xdr:colOff>135302</xdr:colOff>
      <xdr:row>109</xdr:row>
      <xdr:rowOff>72848</xdr:rowOff>
    </xdr:to>
    <xdr:graphicFrame macro="">
      <xdr:nvGraphicFramePr>
        <xdr:cNvPr id="7" name="Gr5nr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16</xdr:col>
      <xdr:colOff>54429</xdr:colOff>
      <xdr:row>124</xdr:row>
      <xdr:rowOff>36286</xdr:rowOff>
    </xdr:from>
    <xdr:to>
      <xdr:col>31</xdr:col>
      <xdr:colOff>38286</xdr:colOff>
      <xdr:row>135</xdr:row>
      <xdr:rowOff>40143</xdr:rowOff>
    </xdr:to>
    <xdr:graphicFrame macro="">
      <xdr:nvGraphicFramePr>
        <xdr:cNvPr id="8" name="Gr4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18141</xdr:colOff>
      <xdr:row>124</xdr:row>
      <xdr:rowOff>63501</xdr:rowOff>
    </xdr:from>
    <xdr:to>
      <xdr:col>15</xdr:col>
      <xdr:colOff>29213</xdr:colOff>
      <xdr:row>135</xdr:row>
      <xdr:rowOff>67358</xdr:rowOff>
    </xdr:to>
    <xdr:graphicFrame macro="">
      <xdr:nvGraphicFramePr>
        <xdr:cNvPr id="9" name="Gr4w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36285</xdr:colOff>
      <xdr:row>110</xdr:row>
      <xdr:rowOff>9072</xdr:rowOff>
    </xdr:from>
    <xdr:to>
      <xdr:col>31</xdr:col>
      <xdr:colOff>20142</xdr:colOff>
      <xdr:row>123</xdr:row>
      <xdr:rowOff>46358</xdr:rowOff>
    </xdr:to>
    <xdr:graphicFrame macro="">
      <xdr:nvGraphicFramePr>
        <xdr:cNvPr id="10" name="Gr3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18144</xdr:colOff>
      <xdr:row>110</xdr:row>
      <xdr:rowOff>36286</xdr:rowOff>
    </xdr:from>
    <xdr:to>
      <xdr:col>15</xdr:col>
      <xdr:colOff>29216</xdr:colOff>
      <xdr:row>123</xdr:row>
      <xdr:rowOff>73572</xdr:rowOff>
    </xdr:to>
    <xdr:graphicFrame macro="">
      <xdr:nvGraphicFramePr>
        <xdr:cNvPr id="11" name="Gr3w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54429</xdr:colOff>
      <xdr:row>98</xdr:row>
      <xdr:rowOff>36286</xdr:rowOff>
    </xdr:from>
    <xdr:to>
      <xdr:col>31</xdr:col>
      <xdr:colOff>38286</xdr:colOff>
      <xdr:row>109</xdr:row>
      <xdr:rowOff>40144</xdr:rowOff>
    </xdr:to>
    <xdr:graphicFrame macro="">
      <xdr:nvGraphicFramePr>
        <xdr:cNvPr id="12" name="Gr2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</xdr:col>
      <xdr:colOff>13608</xdr:colOff>
      <xdr:row>98</xdr:row>
      <xdr:rowOff>58962</xdr:rowOff>
    </xdr:from>
    <xdr:to>
      <xdr:col>15</xdr:col>
      <xdr:colOff>24680</xdr:colOff>
      <xdr:row>109</xdr:row>
      <xdr:rowOff>62820</xdr:rowOff>
    </xdr:to>
    <xdr:graphicFrame macro="">
      <xdr:nvGraphicFramePr>
        <xdr:cNvPr id="13" name="Gr2w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45358</xdr:colOff>
      <xdr:row>80</xdr:row>
      <xdr:rowOff>36286</xdr:rowOff>
    </xdr:from>
    <xdr:to>
      <xdr:col>31</xdr:col>
      <xdr:colOff>29215</xdr:colOff>
      <xdr:row>97</xdr:row>
      <xdr:rowOff>140429</xdr:rowOff>
    </xdr:to>
    <xdr:graphicFrame macro="">
      <xdr:nvGraphicFramePr>
        <xdr:cNvPr id="14" name="Gr1n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7936</xdr:colOff>
      <xdr:row>80</xdr:row>
      <xdr:rowOff>18707</xdr:rowOff>
    </xdr:from>
    <xdr:to>
      <xdr:col>15</xdr:col>
      <xdr:colOff>19008</xdr:colOff>
      <xdr:row>97</xdr:row>
      <xdr:rowOff>122850</xdr:rowOff>
    </xdr:to>
    <xdr:graphicFrame macro="">
      <xdr:nvGraphicFramePr>
        <xdr:cNvPr id="15" name="Gr1w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50800</xdr:colOff>
          <xdr:row>76</xdr:row>
          <xdr:rowOff>69850</xdr:rowOff>
        </xdr:from>
        <xdr:to>
          <xdr:col>54</xdr:col>
          <xdr:colOff>69850</xdr:colOff>
          <xdr:row>77</xdr:row>
          <xdr:rowOff>146050</xdr:rowOff>
        </xdr:to>
        <xdr:sp macro="" textlink="">
          <xdr:nvSpPr>
            <xdr:cNvPr id="14337" name="btn_AxSet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SRIMfit.xla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Library" Target="E5Aexp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Log"/>
      <sheetName val="FncHelp"/>
      <sheetName val="FncLst1_J"/>
      <sheetName val="FncLst2a_J "/>
      <sheetName val="FncLst2b_J"/>
      <sheetName val="FncLst1_E"/>
      <sheetName val="FncLst2a_E"/>
      <sheetName val="FncLst2b_E"/>
    </sheetNames>
    <definedNames>
      <definedName name="srE2LETt"/>
      <definedName name="srE2Rng"/>
      <definedName name="srElmNm"/>
      <definedName name="srEnew"/>
      <definedName name="srEnewGas"/>
      <definedName name="srEold"/>
      <definedName name="srEoldGas"/>
      <definedName name="srInfoIonA"/>
      <definedName name="srInfoIonZ"/>
      <definedName name="srRng2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Log"/>
    </sheetNames>
    <definedNames>
      <definedName name="e5adE_ICs"/>
      <definedName name="e5aEDthkI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6">
    <pageSetUpPr fitToPage="1"/>
  </sheetPr>
  <dimension ref="B1:J81"/>
  <sheetViews>
    <sheetView zoomScale="80" zoomScaleNormal="80" workbookViewId="0">
      <selection activeCell="H19" sqref="H19"/>
    </sheetView>
  </sheetViews>
  <sheetFormatPr defaultColWidth="9" defaultRowHeight="13"/>
  <cols>
    <col min="1" max="1" width="2.90625" style="49" customWidth="1"/>
    <col min="2" max="2" width="12" style="68" customWidth="1"/>
    <col min="3" max="3" width="9.26953125" style="49" customWidth="1"/>
    <col min="4" max="4" width="7.6328125" style="49" customWidth="1"/>
    <col min="5" max="5" width="9.26953125" style="49" customWidth="1"/>
    <col min="6" max="6" width="4.453125" style="10" customWidth="1"/>
    <col min="7" max="8" width="7.90625" style="49" customWidth="1"/>
    <col min="9" max="9" width="4.453125" style="49" customWidth="1"/>
    <col min="10" max="16384" width="9" style="49"/>
  </cols>
  <sheetData>
    <row r="1" spans="2:6" ht="16.5">
      <c r="B1" s="66" t="s">
        <v>29</v>
      </c>
      <c r="C1" s="67" t="s">
        <v>30</v>
      </c>
    </row>
    <row r="2" spans="2:6" ht="16.5">
      <c r="B2" s="68" t="s">
        <v>31</v>
      </c>
      <c r="D2" s="69" t="s">
        <v>276</v>
      </c>
      <c r="F2" s="70"/>
    </row>
    <row r="3" spans="2:6">
      <c r="C3" s="518" t="s">
        <v>109</v>
      </c>
    </row>
    <row r="4" spans="2:6">
      <c r="B4" s="458"/>
      <c r="C4" s="457"/>
    </row>
    <row r="5" spans="2:6">
      <c r="C5" s="42"/>
    </row>
    <row r="6" spans="2:6">
      <c r="B6" s="66"/>
      <c r="C6" s="45"/>
      <c r="D6" s="8"/>
      <c r="E6" s="7"/>
      <c r="F6" s="34"/>
    </row>
    <row r="7" spans="2:6">
      <c r="B7" s="72"/>
      <c r="C7" s="73" t="s">
        <v>17</v>
      </c>
      <c r="D7" s="43" t="s">
        <v>8</v>
      </c>
      <c r="E7" s="16" t="s">
        <v>7</v>
      </c>
      <c r="F7" s="14"/>
    </row>
    <row r="8" spans="2:6">
      <c r="B8" s="72"/>
      <c r="C8" s="75" t="s">
        <v>6</v>
      </c>
      <c r="D8" s="76" t="s">
        <v>1</v>
      </c>
      <c r="E8" s="20" t="s">
        <v>1</v>
      </c>
      <c r="F8" s="35"/>
    </row>
    <row r="9" spans="2:6">
      <c r="B9" s="79" t="s">
        <v>37</v>
      </c>
      <c r="C9" s="31">
        <v>1</v>
      </c>
      <c r="D9" s="64">
        <v>10.199999999999999</v>
      </c>
      <c r="E9" s="80" t="s">
        <v>24</v>
      </c>
      <c r="F9" s="37"/>
    </row>
    <row r="10" spans="2:6">
      <c r="B10" s="79"/>
      <c r="C10" s="31">
        <v>2</v>
      </c>
      <c r="D10" s="64">
        <v>12.8</v>
      </c>
      <c r="E10" s="84">
        <v>12.8</v>
      </c>
      <c r="F10" s="37"/>
    </row>
    <row r="11" spans="2:6">
      <c r="B11" s="79"/>
      <c r="C11" s="31">
        <v>3</v>
      </c>
      <c r="D11" s="64">
        <v>23.8</v>
      </c>
      <c r="E11" s="84">
        <v>23.8</v>
      </c>
      <c r="F11" s="37"/>
    </row>
    <row r="12" spans="2:6">
      <c r="B12" s="79"/>
      <c r="C12" s="31">
        <v>4</v>
      </c>
      <c r="D12" s="64">
        <v>48.59</v>
      </c>
      <c r="E12" s="84">
        <v>48.59</v>
      </c>
      <c r="F12" s="37"/>
    </row>
    <row r="13" spans="2:6">
      <c r="B13" s="79"/>
      <c r="C13" s="31">
        <v>5</v>
      </c>
      <c r="D13" s="64">
        <v>100.24</v>
      </c>
      <c r="E13" s="84">
        <v>100.24</v>
      </c>
      <c r="F13" s="37"/>
    </row>
    <row r="14" spans="2:6">
      <c r="B14" s="79"/>
      <c r="C14" s="31">
        <v>6</v>
      </c>
      <c r="D14" s="64">
        <v>100.8</v>
      </c>
      <c r="E14" s="84">
        <v>100.8</v>
      </c>
      <c r="F14" s="37"/>
    </row>
    <row r="15" spans="2:6">
      <c r="B15" s="79"/>
      <c r="C15" s="32">
        <v>7</v>
      </c>
      <c r="D15" s="64">
        <v>196.39</v>
      </c>
      <c r="E15" s="84">
        <v>196.39</v>
      </c>
      <c r="F15" s="37"/>
    </row>
    <row r="16" spans="2:6">
      <c r="B16" s="79"/>
      <c r="C16" s="31">
        <v>8</v>
      </c>
      <c r="D16" s="64">
        <v>485.95</v>
      </c>
      <c r="E16" s="84">
        <v>485.95</v>
      </c>
      <c r="F16" s="37"/>
    </row>
    <row r="17" spans="2:10">
      <c r="B17" s="88"/>
      <c r="C17" s="89">
        <v>9</v>
      </c>
      <c r="D17" s="63">
        <v>5000</v>
      </c>
      <c r="E17" s="90">
        <v>5000</v>
      </c>
      <c r="F17" s="91"/>
      <c r="G17" s="45"/>
      <c r="H17" s="45"/>
      <c r="I17" s="45"/>
      <c r="J17" s="45"/>
    </row>
    <row r="18" spans="2:10">
      <c r="B18" s="79"/>
      <c r="C18" s="31" t="s">
        <v>49</v>
      </c>
      <c r="D18" s="64">
        <v>5.48</v>
      </c>
      <c r="E18" s="92">
        <v>5.48</v>
      </c>
      <c r="F18" s="37"/>
      <c r="G18" s="45"/>
      <c r="H18" s="45"/>
      <c r="I18" s="45"/>
      <c r="J18" s="45"/>
    </row>
    <row r="19" spans="2:10">
      <c r="B19" s="66"/>
      <c r="C19" s="31" t="s">
        <v>51</v>
      </c>
      <c r="D19" s="64">
        <v>975.39</v>
      </c>
      <c r="E19" s="92">
        <v>975.39</v>
      </c>
      <c r="F19" s="37"/>
      <c r="G19" s="45"/>
      <c r="H19" s="45"/>
      <c r="I19" s="45"/>
      <c r="J19" s="45"/>
    </row>
    <row r="20" spans="2:10">
      <c r="B20" s="66"/>
      <c r="C20" s="98" t="s">
        <v>0</v>
      </c>
      <c r="D20" s="52">
        <v>2000</v>
      </c>
      <c r="E20" s="99">
        <v>2000</v>
      </c>
      <c r="F20" s="37"/>
      <c r="G20" s="501"/>
      <c r="H20" s="45"/>
      <c r="I20" s="45"/>
      <c r="J20" s="45"/>
    </row>
    <row r="21" spans="2:10">
      <c r="B21" s="66"/>
      <c r="E21" s="51"/>
      <c r="G21" s="501"/>
      <c r="H21" s="45"/>
      <c r="I21" s="45"/>
      <c r="J21" s="45"/>
    </row>
    <row r="22" spans="2:10">
      <c r="B22" s="66"/>
      <c r="C22" s="25" t="s">
        <v>15</v>
      </c>
      <c r="D22" s="15" t="s">
        <v>8</v>
      </c>
      <c r="E22" s="44" t="s">
        <v>23</v>
      </c>
      <c r="F22" s="14"/>
      <c r="G22" s="45"/>
      <c r="H22" s="45"/>
      <c r="I22" s="45"/>
      <c r="J22" s="45"/>
    </row>
    <row r="23" spans="2:10">
      <c r="B23" s="66"/>
      <c r="C23" s="26" t="s">
        <v>16</v>
      </c>
      <c r="D23" s="19" t="s">
        <v>1</v>
      </c>
      <c r="E23" s="20" t="s">
        <v>1</v>
      </c>
      <c r="F23" s="35"/>
      <c r="G23" s="55"/>
      <c r="H23" s="55"/>
      <c r="I23" s="45"/>
      <c r="J23" s="45"/>
    </row>
    <row r="24" spans="2:10">
      <c r="B24" s="66" t="s">
        <v>53</v>
      </c>
      <c r="C24" s="100" t="s">
        <v>4</v>
      </c>
      <c r="D24" s="160">
        <v>45.8</v>
      </c>
      <c r="E24" s="62">
        <v>75</v>
      </c>
      <c r="F24" s="36"/>
      <c r="G24" s="502"/>
      <c r="H24" s="502"/>
      <c r="I24" s="8"/>
      <c r="J24" s="45"/>
    </row>
    <row r="25" spans="2:10">
      <c r="B25" s="66" t="s">
        <v>54</v>
      </c>
      <c r="C25" s="29" t="s">
        <v>5</v>
      </c>
      <c r="D25" s="102">
        <v>78</v>
      </c>
      <c r="E25" s="1">
        <v>75</v>
      </c>
      <c r="F25" s="36"/>
      <c r="G25" s="105"/>
      <c r="H25" s="105"/>
      <c r="I25" s="45"/>
      <c r="J25" s="45"/>
    </row>
    <row r="26" spans="2:10">
      <c r="B26" s="66" t="s">
        <v>55</v>
      </c>
      <c r="C26" s="29" t="s">
        <v>102</v>
      </c>
      <c r="D26" s="6">
        <v>24</v>
      </c>
      <c r="E26" s="1">
        <v>24</v>
      </c>
      <c r="F26" s="36"/>
      <c r="G26" s="105"/>
      <c r="H26" s="105"/>
      <c r="I26" s="45"/>
      <c r="J26" s="45"/>
    </row>
    <row r="27" spans="2:10">
      <c r="B27" s="66" t="s">
        <v>56</v>
      </c>
      <c r="C27" s="29" t="s">
        <v>12</v>
      </c>
      <c r="D27" s="102">
        <v>48</v>
      </c>
      <c r="E27" s="1">
        <v>72</v>
      </c>
      <c r="F27" s="36"/>
      <c r="G27" s="105"/>
      <c r="H27" s="105"/>
      <c r="I27" s="45"/>
      <c r="J27" s="45"/>
    </row>
    <row r="28" spans="2:10">
      <c r="B28" s="66" t="s">
        <v>57</v>
      </c>
      <c r="C28" s="29" t="s">
        <v>13</v>
      </c>
      <c r="D28" s="102">
        <v>100</v>
      </c>
      <c r="E28" s="1">
        <v>500</v>
      </c>
      <c r="F28" s="36"/>
      <c r="G28" s="105"/>
      <c r="H28" s="105"/>
      <c r="I28" s="45"/>
      <c r="J28" s="45"/>
    </row>
    <row r="29" spans="2:10">
      <c r="B29" s="66"/>
      <c r="C29" s="30"/>
      <c r="D29" s="17" t="s">
        <v>2</v>
      </c>
      <c r="E29" s="18" t="s">
        <v>2</v>
      </c>
      <c r="F29" s="14"/>
      <c r="G29" s="45"/>
      <c r="H29" s="45"/>
      <c r="I29" s="45"/>
      <c r="J29" s="45"/>
    </row>
    <row r="30" spans="2:10">
      <c r="B30" s="66" t="s">
        <v>58</v>
      </c>
      <c r="C30" s="101" t="s">
        <v>59</v>
      </c>
      <c r="D30" s="102">
        <v>145</v>
      </c>
      <c r="E30" s="1" t="s">
        <v>60</v>
      </c>
      <c r="F30" s="42"/>
      <c r="G30" s="105"/>
      <c r="H30" s="105"/>
      <c r="I30" s="45"/>
      <c r="J30" s="45"/>
    </row>
    <row r="31" spans="2:10">
      <c r="B31" s="66" t="s">
        <v>61</v>
      </c>
      <c r="C31" s="71" t="s">
        <v>62</v>
      </c>
      <c r="D31" s="33">
        <v>165</v>
      </c>
      <c r="E31" s="2" t="s">
        <v>63</v>
      </c>
      <c r="F31" s="42"/>
      <c r="G31" s="105"/>
      <c r="H31" s="105"/>
      <c r="I31" s="45"/>
      <c r="J31" s="45"/>
    </row>
    <row r="32" spans="2:10">
      <c r="B32" s="66" t="s">
        <v>196</v>
      </c>
      <c r="C32" s="113" t="s">
        <v>194</v>
      </c>
      <c r="D32" s="426">
        <v>27.7</v>
      </c>
      <c r="E32" s="130" t="s">
        <v>94</v>
      </c>
      <c r="F32" s="42"/>
      <c r="G32" s="503"/>
      <c r="H32" s="503"/>
      <c r="I32" s="45"/>
      <c r="J32" s="45"/>
    </row>
    <row r="33" spans="2:10">
      <c r="B33" s="66" t="s">
        <v>197</v>
      </c>
      <c r="C33" s="28" t="s">
        <v>195</v>
      </c>
      <c r="D33" s="427">
        <v>1008</v>
      </c>
      <c r="E33" s="2" t="s">
        <v>95</v>
      </c>
      <c r="F33" s="42"/>
      <c r="G33" s="503"/>
      <c r="H33" s="503"/>
      <c r="I33" s="45"/>
      <c r="J33" s="45"/>
    </row>
    <row r="34" spans="2:10">
      <c r="F34" s="14"/>
      <c r="G34" s="45"/>
      <c r="H34" s="45"/>
      <c r="I34" s="45"/>
      <c r="J34" s="45"/>
    </row>
    <row r="35" spans="2:10">
      <c r="C35" s="103" t="s">
        <v>101</v>
      </c>
      <c r="D35" s="21" t="s">
        <v>8</v>
      </c>
      <c r="E35" s="22" t="s">
        <v>11</v>
      </c>
      <c r="F35" s="14"/>
      <c r="G35" s="45"/>
      <c r="H35" s="45"/>
      <c r="I35" s="45"/>
      <c r="J35" s="45"/>
    </row>
    <row r="36" spans="2:10">
      <c r="B36" s="66" t="s">
        <v>64</v>
      </c>
      <c r="C36" s="104" t="s">
        <v>65</v>
      </c>
      <c r="D36" s="105">
        <v>4</v>
      </c>
      <c r="E36" s="18">
        <v>4</v>
      </c>
      <c r="F36" s="14"/>
      <c r="G36" s="45"/>
      <c r="H36" s="45"/>
      <c r="I36" s="45"/>
      <c r="J36" s="45"/>
    </row>
    <row r="37" spans="2:10">
      <c r="B37" s="66" t="s">
        <v>66</v>
      </c>
      <c r="C37" s="106" t="s">
        <v>67</v>
      </c>
      <c r="D37" s="107">
        <v>2</v>
      </c>
      <c r="E37" s="108" t="s">
        <v>68</v>
      </c>
      <c r="F37" s="14"/>
      <c r="G37" s="45"/>
      <c r="H37" s="45"/>
      <c r="I37" s="45"/>
      <c r="J37" s="45"/>
    </row>
    <row r="38" spans="2:10">
      <c r="F38" s="14"/>
      <c r="G38" s="45"/>
      <c r="H38" s="45"/>
      <c r="I38" s="45"/>
      <c r="J38" s="45"/>
    </row>
    <row r="39" spans="2:10">
      <c r="C39" s="38"/>
      <c r="D39" s="15" t="s">
        <v>8</v>
      </c>
      <c r="E39" s="44" t="s">
        <v>21</v>
      </c>
      <c r="F39" s="14"/>
      <c r="G39" s="45"/>
      <c r="H39" s="45"/>
      <c r="I39" s="45"/>
      <c r="J39" s="45"/>
    </row>
    <row r="40" spans="2:10">
      <c r="C40" s="26" t="s">
        <v>266</v>
      </c>
      <c r="D40" s="19" t="s">
        <v>1</v>
      </c>
      <c r="E40" s="20" t="s">
        <v>1</v>
      </c>
      <c r="G40" s="440"/>
      <c r="H40" s="45"/>
      <c r="I40" s="45"/>
      <c r="J40" s="45"/>
    </row>
    <row r="41" spans="2:10">
      <c r="B41" s="68" t="s">
        <v>69</v>
      </c>
      <c r="C41" s="27" t="s">
        <v>9</v>
      </c>
      <c r="D41" s="8">
        <v>4.72</v>
      </c>
      <c r="E41" s="1">
        <v>4.72</v>
      </c>
      <c r="G41" s="45"/>
      <c r="H41" s="45"/>
      <c r="I41" s="45"/>
      <c r="J41" s="45"/>
    </row>
    <row r="42" spans="2:10">
      <c r="B42" s="68" t="s">
        <v>70</v>
      </c>
      <c r="C42" s="48" t="s">
        <v>25</v>
      </c>
      <c r="D42" s="47">
        <v>0</v>
      </c>
      <c r="E42" s="109" t="s">
        <v>22</v>
      </c>
      <c r="G42" s="504"/>
      <c r="H42" s="505"/>
      <c r="I42" s="45"/>
      <c r="J42" s="45"/>
    </row>
    <row r="43" spans="2:10">
      <c r="B43" s="68" t="s">
        <v>71</v>
      </c>
      <c r="C43" s="27" t="s">
        <v>10</v>
      </c>
      <c r="D43" s="510">
        <v>50</v>
      </c>
      <c r="E43" s="110">
        <v>150</v>
      </c>
      <c r="G43" s="504"/>
      <c r="H43" s="504"/>
      <c r="I43" s="45"/>
      <c r="J43" s="45"/>
    </row>
    <row r="44" spans="2:10">
      <c r="B44" s="68" t="s">
        <v>72</v>
      </c>
      <c r="C44" s="28" t="s">
        <v>26</v>
      </c>
      <c r="D44" s="441">
        <v>0</v>
      </c>
      <c r="E44" s="109" t="s">
        <v>22</v>
      </c>
      <c r="G44" s="504"/>
      <c r="H44" s="504"/>
      <c r="I44" s="45"/>
      <c r="J44" s="45"/>
    </row>
    <row r="45" spans="2:10">
      <c r="C45" s="39" t="s">
        <v>20</v>
      </c>
      <c r="D45" s="40" t="s">
        <v>199</v>
      </c>
      <c r="E45" s="41" t="s">
        <v>1</v>
      </c>
      <c r="G45" s="504"/>
      <c r="H45" s="504"/>
      <c r="I45" s="45"/>
      <c r="J45" s="45"/>
    </row>
    <row r="46" spans="2:10" ht="12.75" customHeight="1">
      <c r="B46" s="68" t="s">
        <v>73</v>
      </c>
      <c r="C46" s="27" t="s">
        <v>27</v>
      </c>
      <c r="D46" s="442">
        <v>0</v>
      </c>
      <c r="E46" s="1">
        <v>0</v>
      </c>
      <c r="G46" s="504"/>
      <c r="H46" s="505"/>
      <c r="I46" s="45"/>
      <c r="J46" s="45"/>
    </row>
    <row r="47" spans="2:10">
      <c r="B47" s="68" t="s">
        <v>74</v>
      </c>
      <c r="C47" s="27" t="s">
        <v>10</v>
      </c>
      <c r="D47" s="510">
        <v>20</v>
      </c>
      <c r="E47" s="110">
        <v>1500</v>
      </c>
      <c r="G47" s="504"/>
      <c r="H47" s="504"/>
      <c r="I47" s="45"/>
      <c r="J47" s="45"/>
    </row>
    <row r="48" spans="2:10">
      <c r="B48" s="68" t="s">
        <v>75</v>
      </c>
      <c r="C48" s="28" t="s">
        <v>28</v>
      </c>
      <c r="D48" s="443">
        <v>0</v>
      </c>
      <c r="E48" s="2">
        <v>0</v>
      </c>
      <c r="G48" s="504"/>
      <c r="H48" s="504"/>
      <c r="I48" s="45"/>
      <c r="J48" s="45"/>
    </row>
    <row r="49" spans="2:10">
      <c r="G49" s="504"/>
      <c r="H49" s="504"/>
      <c r="I49" s="45"/>
      <c r="J49" s="45"/>
    </row>
    <row r="50" spans="2:10">
      <c r="C50" s="38"/>
      <c r="D50" s="15" t="s">
        <v>8</v>
      </c>
      <c r="E50" s="44" t="s">
        <v>21</v>
      </c>
      <c r="G50" s="504"/>
      <c r="H50" s="504"/>
      <c r="I50" s="45"/>
      <c r="J50" s="45"/>
    </row>
    <row r="51" spans="2:10">
      <c r="C51" s="26" t="s">
        <v>76</v>
      </c>
      <c r="D51" s="19" t="s">
        <v>199</v>
      </c>
      <c r="E51" s="20" t="s">
        <v>1</v>
      </c>
      <c r="F51" s="111"/>
      <c r="G51" s="504"/>
      <c r="H51" s="504"/>
      <c r="I51" s="45"/>
      <c r="J51" s="45"/>
    </row>
    <row r="52" spans="2:10">
      <c r="B52" s="68" t="s">
        <v>77</v>
      </c>
      <c r="C52" s="27" t="s">
        <v>9</v>
      </c>
      <c r="D52" s="8">
        <v>4.72</v>
      </c>
      <c r="E52" s="1">
        <v>4.72</v>
      </c>
      <c r="G52" s="504"/>
      <c r="H52" s="504"/>
      <c r="I52" s="45"/>
      <c r="J52" s="45"/>
    </row>
    <row r="53" spans="2:10">
      <c r="B53" s="68" t="s">
        <v>78</v>
      </c>
      <c r="C53" s="48" t="s">
        <v>25</v>
      </c>
      <c r="D53" s="47">
        <v>0</v>
      </c>
      <c r="E53" s="109" t="s">
        <v>22</v>
      </c>
      <c r="G53" s="504"/>
      <c r="H53" s="505"/>
      <c r="I53" s="45"/>
      <c r="J53" s="45"/>
    </row>
    <row r="54" spans="2:10">
      <c r="B54" s="68" t="s">
        <v>79</v>
      </c>
      <c r="C54" s="27" t="s">
        <v>10</v>
      </c>
      <c r="D54" s="47">
        <v>2050</v>
      </c>
      <c r="E54" s="110">
        <v>2000</v>
      </c>
      <c r="G54" s="504"/>
      <c r="H54" s="504"/>
      <c r="I54" s="45"/>
      <c r="J54" s="45"/>
    </row>
    <row r="55" spans="2:10">
      <c r="B55" s="68" t="s">
        <v>80</v>
      </c>
      <c r="C55" s="28" t="s">
        <v>26</v>
      </c>
      <c r="D55" s="441">
        <f>D53</f>
        <v>0</v>
      </c>
      <c r="E55" s="109" t="s">
        <v>81</v>
      </c>
      <c r="G55" s="504"/>
      <c r="H55" s="504"/>
      <c r="I55" s="45"/>
      <c r="J55" s="45"/>
    </row>
    <row r="56" spans="2:10">
      <c r="C56" s="39" t="s">
        <v>82</v>
      </c>
      <c r="D56" s="40" t="s">
        <v>199</v>
      </c>
      <c r="E56" s="41" t="s">
        <v>83</v>
      </c>
      <c r="G56" s="504"/>
      <c r="H56" s="504"/>
      <c r="I56" s="45"/>
      <c r="J56" s="45"/>
    </row>
    <row r="57" spans="2:10">
      <c r="B57" s="68" t="s">
        <v>84</v>
      </c>
      <c r="C57" s="27" t="s">
        <v>85</v>
      </c>
      <c r="D57" s="47">
        <v>40</v>
      </c>
      <c r="E57" s="1">
        <v>0</v>
      </c>
      <c r="G57" s="504"/>
      <c r="H57" s="504"/>
      <c r="I57" s="45"/>
      <c r="J57" s="45"/>
    </row>
    <row r="58" spans="2:10">
      <c r="B58" s="68" t="s">
        <v>86</v>
      </c>
      <c r="C58" s="27" t="s">
        <v>10</v>
      </c>
      <c r="D58" s="47">
        <v>2000</v>
      </c>
      <c r="E58" s="110">
        <v>2000</v>
      </c>
      <c r="G58" s="506"/>
      <c r="H58" s="504"/>
      <c r="I58" s="45"/>
      <c r="J58" s="45"/>
    </row>
    <row r="59" spans="2:10">
      <c r="B59" s="68" t="s">
        <v>87</v>
      </c>
      <c r="C59" s="28" t="s">
        <v>88</v>
      </c>
      <c r="D59" s="441">
        <v>0</v>
      </c>
      <c r="E59" s="2">
        <v>0</v>
      </c>
      <c r="G59" s="504"/>
      <c r="H59" s="504"/>
      <c r="I59" s="45"/>
      <c r="J59" s="45"/>
    </row>
    <row r="60" spans="2:10">
      <c r="G60" s="45"/>
      <c r="H60" s="45"/>
      <c r="I60" s="45"/>
      <c r="J60" s="45"/>
    </row>
    <row r="61" spans="2:10">
      <c r="B61" s="66"/>
      <c r="C61" s="23" t="s">
        <v>15</v>
      </c>
      <c r="D61" s="178" t="s">
        <v>8</v>
      </c>
      <c r="E61" s="22" t="s">
        <v>11</v>
      </c>
      <c r="G61" s="55"/>
      <c r="H61" s="55"/>
      <c r="I61" s="45"/>
      <c r="J61" s="45"/>
    </row>
    <row r="62" spans="2:10">
      <c r="B62" s="66" t="s">
        <v>32</v>
      </c>
      <c r="C62" s="24" t="s">
        <v>14</v>
      </c>
      <c r="D62" s="511"/>
      <c r="E62" s="112">
        <v>95</v>
      </c>
      <c r="G62" s="507"/>
      <c r="H62" s="507"/>
      <c r="I62" s="45"/>
      <c r="J62" s="45"/>
    </row>
    <row r="63" spans="2:10">
      <c r="B63" s="68" t="s">
        <v>188</v>
      </c>
      <c r="C63" s="429" t="s">
        <v>198</v>
      </c>
      <c r="D63" s="428" t="s">
        <v>200</v>
      </c>
      <c r="E63" s="4"/>
      <c r="G63" s="45"/>
      <c r="H63" s="45"/>
      <c r="I63" s="45"/>
      <c r="J63" s="45"/>
    </row>
    <row r="64" spans="2:10">
      <c r="B64" s="49"/>
      <c r="G64" s="45"/>
      <c r="H64" s="45"/>
      <c r="I64" s="45"/>
      <c r="J64" s="45"/>
    </row>
    <row r="65" spans="2:10">
      <c r="B65" s="66"/>
      <c r="C65" s="25" t="s">
        <v>18</v>
      </c>
      <c r="D65" s="512" t="s">
        <v>8</v>
      </c>
      <c r="E65" s="513"/>
      <c r="G65" s="45"/>
      <c r="H65" s="45"/>
      <c r="I65" s="45"/>
      <c r="J65" s="45"/>
    </row>
    <row r="66" spans="2:10">
      <c r="B66" s="66"/>
      <c r="C66" s="26" t="s">
        <v>19</v>
      </c>
      <c r="D66" s="19" t="s">
        <v>1</v>
      </c>
      <c r="E66" s="20"/>
      <c r="G66" s="45"/>
      <c r="H66" s="45"/>
      <c r="I66" s="45"/>
      <c r="J66" s="45"/>
    </row>
    <row r="67" spans="2:10">
      <c r="B67" s="66" t="s">
        <v>34</v>
      </c>
      <c r="C67" s="71" t="s">
        <v>34</v>
      </c>
      <c r="D67" s="439">
        <v>988</v>
      </c>
      <c r="E67" s="509" t="s">
        <v>277</v>
      </c>
      <c r="G67" s="211"/>
      <c r="H67" s="211"/>
      <c r="I67" s="45"/>
      <c r="J67" s="45"/>
    </row>
    <row r="68" spans="2:10">
      <c r="B68" s="49"/>
      <c r="G68" s="45"/>
      <c r="H68" s="45"/>
      <c r="I68" s="45"/>
      <c r="J68" s="45"/>
    </row>
    <row r="69" spans="2:10">
      <c r="B69" s="49"/>
      <c r="C69" s="61"/>
      <c r="D69" s="74" t="s">
        <v>35</v>
      </c>
      <c r="E69" s="62"/>
      <c r="G69" s="504"/>
      <c r="H69" s="504"/>
      <c r="I69" s="45"/>
      <c r="J69" s="45"/>
    </row>
    <row r="70" spans="2:10">
      <c r="B70" s="49"/>
      <c r="C70" s="77" t="s">
        <v>36</v>
      </c>
      <c r="D70" s="78" t="s">
        <v>8</v>
      </c>
      <c r="E70" s="2"/>
      <c r="G70" s="508"/>
      <c r="H70" s="508"/>
      <c r="I70" s="45"/>
      <c r="J70" s="45"/>
    </row>
    <row r="71" spans="2:10">
      <c r="B71" s="66" t="s">
        <v>38</v>
      </c>
      <c r="C71" s="81" t="s">
        <v>39</v>
      </c>
      <c r="D71" s="82"/>
      <c r="E71" s="83"/>
      <c r="G71" s="45"/>
      <c r="H71" s="45"/>
      <c r="I71" s="45"/>
      <c r="J71" s="45"/>
    </row>
    <row r="72" spans="2:10">
      <c r="B72" s="66" t="s">
        <v>40</v>
      </c>
      <c r="C72" s="81" t="s">
        <v>41</v>
      </c>
      <c r="D72" s="85"/>
      <c r="E72" s="86"/>
      <c r="G72" s="45"/>
      <c r="H72" s="45"/>
      <c r="I72" s="45"/>
      <c r="J72" s="45"/>
    </row>
    <row r="73" spans="2:10">
      <c r="B73" s="66"/>
      <c r="C73" s="87" t="s">
        <v>42</v>
      </c>
      <c r="D73" s="3"/>
      <c r="E73" s="4"/>
      <c r="G73" s="45"/>
      <c r="H73" s="45"/>
      <c r="I73" s="45"/>
      <c r="J73" s="45"/>
    </row>
    <row r="74" spans="2:10">
      <c r="B74" s="66" t="s">
        <v>43</v>
      </c>
      <c r="C74" s="81" t="s">
        <v>39</v>
      </c>
      <c r="D74" s="82"/>
      <c r="E74" s="83"/>
      <c r="G74" s="45"/>
      <c r="H74" s="45"/>
      <c r="I74" s="45"/>
      <c r="J74" s="45"/>
    </row>
    <row r="75" spans="2:10">
      <c r="B75" s="66" t="s">
        <v>44</v>
      </c>
      <c r="C75" s="81" t="s">
        <v>41</v>
      </c>
      <c r="D75" s="85"/>
      <c r="E75" s="86"/>
      <c r="G75" s="45"/>
      <c r="H75" s="45"/>
      <c r="I75" s="45"/>
      <c r="J75" s="45"/>
    </row>
    <row r="76" spans="2:10">
      <c r="B76" s="66"/>
      <c r="C76" s="87" t="s">
        <v>45</v>
      </c>
      <c r="D76" s="3"/>
      <c r="E76" s="4"/>
      <c r="G76" s="45"/>
      <c r="H76" s="45"/>
      <c r="I76" s="45"/>
      <c r="J76" s="45"/>
    </row>
    <row r="77" spans="2:10">
      <c r="B77" s="66" t="s">
        <v>46</v>
      </c>
      <c r="C77" s="81" t="s">
        <v>39</v>
      </c>
      <c r="D77" s="82"/>
      <c r="E77" s="83"/>
    </row>
    <row r="78" spans="2:10">
      <c r="B78" s="66" t="s">
        <v>47</v>
      </c>
      <c r="C78" s="81" t="s">
        <v>41</v>
      </c>
      <c r="D78" s="85"/>
      <c r="E78" s="86"/>
    </row>
    <row r="79" spans="2:10">
      <c r="B79" s="66"/>
      <c r="C79" s="87" t="s">
        <v>48</v>
      </c>
      <c r="D79" s="3"/>
      <c r="E79" s="4"/>
    </row>
    <row r="80" spans="2:10">
      <c r="B80" s="66" t="s">
        <v>50</v>
      </c>
      <c r="C80" s="93" t="s">
        <v>39</v>
      </c>
      <c r="D80" s="94"/>
      <c r="E80" s="95"/>
    </row>
    <row r="81" spans="2:5">
      <c r="B81" s="66" t="s">
        <v>52</v>
      </c>
      <c r="C81" s="96" t="s">
        <v>41</v>
      </c>
      <c r="D81" s="97"/>
      <c r="E81" s="86"/>
    </row>
  </sheetData>
  <phoneticPr fontId="25"/>
  <pageMargins left="0.23622047244094491" right="0.23622047244094491" top="0.35433070866141736" bottom="0.35433070866141736" header="0" footer="0.31496062992125984"/>
  <pageSetup paperSize="9" fitToHeight="0" pageOrder="overThenDown" orientation="landscape" r:id="rId1"/>
  <headerFooter>
    <oddHeader>&amp;L&amp;F&amp;A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B1:AD126"/>
  <sheetViews>
    <sheetView zoomScale="80" zoomScaleNormal="80" workbookViewId="0">
      <selection activeCell="I27" sqref="I27"/>
    </sheetView>
  </sheetViews>
  <sheetFormatPr defaultColWidth="9" defaultRowHeight="13"/>
  <cols>
    <col min="1" max="1" width="2.36328125" style="49" customWidth="1"/>
    <col min="2" max="2" width="7.7265625" style="49" customWidth="1"/>
    <col min="3" max="3" width="9.08984375" style="49" customWidth="1"/>
    <col min="4" max="4" width="8.08984375" style="49" customWidth="1"/>
    <col min="5" max="5" width="2" style="49" customWidth="1"/>
    <col min="6" max="6" width="6.36328125" style="300" customWidth="1"/>
    <col min="7" max="7" width="7.08984375" style="49" customWidth="1"/>
    <col min="8" max="8" width="1.6328125" style="49" customWidth="1"/>
    <col min="9" max="9" width="5.90625" style="49" customWidth="1"/>
    <col min="10" max="10" width="6.90625" style="49" customWidth="1"/>
    <col min="11" max="11" width="2" style="49" customWidth="1"/>
    <col min="12" max="12" width="5.90625" style="49" customWidth="1"/>
    <col min="13" max="13" width="6.7265625" style="49" customWidth="1"/>
    <col min="14" max="14" width="2" style="49" customWidth="1"/>
    <col min="15" max="15" width="5.90625" style="49" customWidth="1"/>
    <col min="16" max="16" width="6.453125" style="49" customWidth="1"/>
    <col min="17" max="17" width="2" style="49" customWidth="1"/>
    <col min="18" max="18" width="5.90625" style="49" customWidth="1"/>
    <col min="19" max="19" width="6.453125" style="49" customWidth="1"/>
    <col min="20" max="20" width="2" style="49" customWidth="1"/>
    <col min="21" max="21" width="5.90625" style="49" customWidth="1"/>
    <col min="22" max="22" width="6.453125" style="49" customWidth="1"/>
    <col min="23" max="23" width="2.6328125" style="49" customWidth="1"/>
    <col min="24" max="16384" width="9" style="49"/>
  </cols>
  <sheetData>
    <row r="1" spans="2:30" s="147" customFormat="1" ht="11">
      <c r="F1" s="316"/>
      <c r="G1" s="148"/>
      <c r="H1" s="146"/>
      <c r="O1" s="148"/>
      <c r="R1" s="148"/>
      <c r="V1" s="148"/>
    </row>
    <row r="2" spans="2:30" ht="19">
      <c r="B2" s="136" t="str">
        <f>WBtitle</f>
        <v>2018.07 Kr照射</v>
      </c>
      <c r="G2" s="135"/>
      <c r="H2" s="134"/>
      <c r="I2" s="136"/>
      <c r="M2" s="10"/>
      <c r="O2" s="133"/>
      <c r="R2" s="133"/>
      <c r="T2" s="10"/>
      <c r="V2" s="133"/>
      <c r="X2" s="149"/>
    </row>
    <row r="3" spans="2:30" s="114" customFormat="1" ht="19">
      <c r="B3" s="115"/>
      <c r="C3" s="116" t="s">
        <v>182</v>
      </c>
      <c r="D3" s="117"/>
      <c r="E3" s="117"/>
      <c r="F3" s="317"/>
      <c r="G3" s="181"/>
      <c r="H3" s="261"/>
      <c r="I3" s="180"/>
      <c r="J3" s="116"/>
      <c r="K3" s="180"/>
      <c r="L3" s="180"/>
      <c r="M3" s="294" t="str">
        <f>$D$7</f>
        <v>Kr</v>
      </c>
      <c r="N3" s="180"/>
      <c r="O3" s="183"/>
      <c r="P3" s="180"/>
      <c r="Q3" s="180"/>
      <c r="R3" s="183"/>
      <c r="S3" s="180"/>
      <c r="T3" s="182"/>
      <c r="U3" s="180"/>
      <c r="V3" s="183"/>
      <c r="W3" s="180"/>
      <c r="X3" s="180"/>
      <c r="Y3" s="181"/>
      <c r="Z3" s="262"/>
      <c r="AA3" s="180"/>
      <c r="AB3" s="118"/>
      <c r="AC3" s="180"/>
      <c r="AD3" s="180"/>
    </row>
    <row r="4" spans="2:30">
      <c r="G4" s="199"/>
      <c r="H4" s="45"/>
      <c r="I4" s="45"/>
      <c r="J4" s="199"/>
      <c r="K4" s="45"/>
      <c r="L4" s="45"/>
      <c r="M4" s="199"/>
      <c r="N4" s="45"/>
      <c r="O4" s="45"/>
      <c r="P4" s="199"/>
      <c r="Q4" s="45"/>
      <c r="R4" s="45"/>
      <c r="S4" s="199"/>
      <c r="T4" s="45"/>
      <c r="U4" s="45"/>
      <c r="V4" s="199"/>
    </row>
    <row r="5" spans="2:30" ht="14">
      <c r="B5" s="49" t="s">
        <v>96</v>
      </c>
      <c r="G5" s="201"/>
      <c r="H5" s="45"/>
      <c r="I5" s="202"/>
      <c r="J5" s="305"/>
      <c r="K5" s="45"/>
      <c r="L5" s="202"/>
      <c r="M5" s="305"/>
      <c r="N5" s="45"/>
      <c r="O5" s="202"/>
      <c r="P5" s="305"/>
      <c r="Q5" s="45"/>
      <c r="R5" s="202"/>
      <c r="S5" s="305"/>
      <c r="T5" s="45"/>
      <c r="U5" s="202"/>
      <c r="V5" s="305"/>
    </row>
    <row r="6" spans="2:30" ht="14">
      <c r="B6" s="61" t="s">
        <v>97</v>
      </c>
      <c r="C6" s="140" t="str">
        <f>BeamWS</f>
        <v>srim84Kr_</v>
      </c>
      <c r="D6" s="141"/>
      <c r="E6" s="9"/>
      <c r="F6" s="318"/>
      <c r="G6" s="205"/>
      <c r="H6" s="45"/>
      <c r="I6" s="208"/>
      <c r="J6" s="306"/>
      <c r="K6" s="45"/>
      <c r="L6" s="208"/>
      <c r="M6" s="306"/>
      <c r="N6" s="45"/>
      <c r="O6" s="208"/>
      <c r="P6" s="306"/>
      <c r="Q6" s="45"/>
      <c r="R6" s="208"/>
      <c r="S6" s="306"/>
      <c r="T6" s="45"/>
      <c r="U6" s="208"/>
      <c r="V6" s="306"/>
    </row>
    <row r="7" spans="2:30">
      <c r="B7" s="172" t="s">
        <v>33</v>
      </c>
      <c r="C7" s="164">
        <f>[1]!srInfoIonA($C$12)</f>
        <v>84</v>
      </c>
      <c r="D7" s="171" t="str">
        <f>[1]!srElmNm([1]!srInfoIonZ($C$12))</f>
        <v>Kr</v>
      </c>
      <c r="E7" s="164"/>
      <c r="F7" s="319"/>
      <c r="G7" s="45"/>
      <c r="H7" s="45"/>
      <c r="I7" s="139"/>
      <c r="J7" s="307"/>
      <c r="K7" s="179"/>
      <c r="L7" s="139"/>
      <c r="M7" s="307"/>
      <c r="N7" s="179"/>
      <c r="O7" s="139"/>
      <c r="P7" s="307"/>
      <c r="Q7" s="179"/>
      <c r="R7" s="139"/>
      <c r="S7" s="307"/>
      <c r="T7" s="179"/>
      <c r="U7" s="139"/>
      <c r="V7" s="307"/>
      <c r="W7" s="10"/>
    </row>
    <row r="8" spans="2:30">
      <c r="B8" s="138" t="s">
        <v>107</v>
      </c>
      <c r="C8" s="301">
        <v>70</v>
      </c>
      <c r="D8" s="2" t="s">
        <v>108</v>
      </c>
      <c r="E8" s="45"/>
      <c r="F8" s="7"/>
      <c r="G8" s="308"/>
      <c r="H8" s="308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309"/>
    </row>
    <row r="9" spans="2:30">
      <c r="C9" s="302" t="s">
        <v>161</v>
      </c>
      <c r="G9" s="179"/>
      <c r="H9" s="179"/>
      <c r="I9" s="42" t="s">
        <v>114</v>
      </c>
      <c r="J9" s="53"/>
      <c r="L9" s="42" t="s">
        <v>115</v>
      </c>
      <c r="M9" s="53"/>
      <c r="O9" s="42" t="s">
        <v>116</v>
      </c>
      <c r="P9" s="53"/>
      <c r="R9" s="42" t="s">
        <v>116</v>
      </c>
      <c r="S9" s="53"/>
      <c r="U9" s="42" t="s">
        <v>117</v>
      </c>
      <c r="V9" s="215"/>
    </row>
    <row r="10" spans="2:30">
      <c r="E10" s="9"/>
      <c r="F10" s="318"/>
      <c r="G10" s="34" t="s">
        <v>162</v>
      </c>
      <c r="H10" s="179"/>
      <c r="I10" s="311">
        <v>-10</v>
      </c>
      <c r="J10" s="312"/>
      <c r="K10" s="51"/>
      <c r="L10" s="311">
        <v>-5</v>
      </c>
      <c r="M10" s="312"/>
      <c r="N10" s="51"/>
      <c r="O10" s="313">
        <v>0</v>
      </c>
      <c r="P10" s="312"/>
      <c r="Q10" s="51"/>
      <c r="R10" s="311">
        <v>5</v>
      </c>
      <c r="S10" s="312"/>
      <c r="T10" s="51"/>
      <c r="U10" s="311">
        <v>10</v>
      </c>
      <c r="V10" s="226"/>
    </row>
    <row r="11" spans="2:30">
      <c r="B11" s="253" t="s">
        <v>3</v>
      </c>
      <c r="C11" s="283" t="s">
        <v>91</v>
      </c>
      <c r="D11" s="284"/>
      <c r="E11" s="5"/>
      <c r="F11" s="166"/>
      <c r="G11" s="228" t="s">
        <v>122</v>
      </c>
      <c r="H11" s="229"/>
      <c r="I11" s="303">
        <f>$C$29+I10</f>
        <v>978</v>
      </c>
      <c r="J11" s="304"/>
      <c r="K11" s="213"/>
      <c r="L11" s="303">
        <f>$C$29+L10</f>
        <v>983</v>
      </c>
      <c r="M11" s="304"/>
      <c r="N11" s="213"/>
      <c r="O11" s="310">
        <f>$C$29+O10</f>
        <v>988</v>
      </c>
      <c r="P11" s="304"/>
      <c r="Q11" s="213"/>
      <c r="R11" s="303">
        <f>$C$29+R10</f>
        <v>993</v>
      </c>
      <c r="S11" s="304"/>
      <c r="T11" s="213"/>
      <c r="U11" s="303">
        <f>$C$29+U10</f>
        <v>998</v>
      </c>
      <c r="V11" s="45"/>
    </row>
    <row r="12" spans="2:30">
      <c r="B12" s="285" t="s">
        <v>156</v>
      </c>
      <c r="C12" s="158" t="str">
        <f t="shared" ref="C12:C13" si="0">$C$6&amp;B12</f>
        <v>srim84Kr_Si</v>
      </c>
      <c r="D12" s="279"/>
      <c r="E12" s="5"/>
      <c r="F12" s="166" t="s">
        <v>163</v>
      </c>
      <c r="G12" s="234" t="s">
        <v>138</v>
      </c>
      <c r="H12" s="128"/>
      <c r="I12" s="237" t="s">
        <v>141</v>
      </c>
      <c r="J12" s="370" t="s">
        <v>145</v>
      </c>
      <c r="L12" s="237" t="s">
        <v>141</v>
      </c>
      <c r="M12" s="370" t="s">
        <v>145</v>
      </c>
      <c r="O12" s="237" t="s">
        <v>141</v>
      </c>
      <c r="P12" s="370" t="s">
        <v>145</v>
      </c>
      <c r="R12" s="237" t="s">
        <v>141</v>
      </c>
      <c r="S12" s="370" t="s">
        <v>145</v>
      </c>
      <c r="U12" s="237" t="s">
        <v>141</v>
      </c>
      <c r="V12" s="238" t="s">
        <v>145</v>
      </c>
    </row>
    <row r="13" spans="2:30">
      <c r="B13" s="285" t="s">
        <v>151</v>
      </c>
      <c r="C13" s="159" t="str">
        <f t="shared" si="0"/>
        <v>srim84Kr_Al</v>
      </c>
      <c r="D13" s="279"/>
      <c r="E13" s="5"/>
      <c r="F13" s="166" t="s">
        <v>99</v>
      </c>
      <c r="G13" s="244" t="s">
        <v>127</v>
      </c>
      <c r="H13" s="245"/>
      <c r="I13" s="248" t="s">
        <v>108</v>
      </c>
      <c r="J13" s="371" t="s">
        <v>110</v>
      </c>
      <c r="L13" s="248" t="s">
        <v>108</v>
      </c>
      <c r="M13" s="371" t="s">
        <v>110</v>
      </c>
      <c r="O13" s="248" t="s">
        <v>108</v>
      </c>
      <c r="P13" s="371" t="s">
        <v>110</v>
      </c>
      <c r="R13" s="248" t="s">
        <v>108</v>
      </c>
      <c r="S13" s="371" t="s">
        <v>110</v>
      </c>
      <c r="U13" s="248" t="s">
        <v>108</v>
      </c>
      <c r="V13" s="173" t="s">
        <v>110</v>
      </c>
    </row>
    <row r="14" spans="2:30">
      <c r="B14" s="285" t="s">
        <v>152</v>
      </c>
      <c r="C14" s="159" t="str">
        <f>$C$6&amp;B14</f>
        <v>srim84Kr_Air</v>
      </c>
      <c r="D14" s="279"/>
      <c r="E14" s="5"/>
      <c r="F14" s="332"/>
      <c r="G14" s="328"/>
      <c r="H14" s="333" t="s">
        <v>164</v>
      </c>
      <c r="I14" s="328"/>
      <c r="J14" s="329"/>
      <c r="K14" s="330"/>
      <c r="L14" s="328"/>
      <c r="M14" s="329"/>
      <c r="N14" s="330"/>
      <c r="O14" s="328"/>
      <c r="P14" s="329"/>
      <c r="Q14" s="330"/>
      <c r="R14" s="328"/>
      <c r="S14" s="329"/>
      <c r="T14" s="330"/>
      <c r="U14" s="328"/>
      <c r="V14" s="329"/>
      <c r="W14" s="51"/>
      <c r="X14" s="51"/>
      <c r="Y14" s="51"/>
    </row>
    <row r="15" spans="2:30">
      <c r="B15" s="285" t="s">
        <v>153</v>
      </c>
      <c r="C15" s="159" t="str">
        <f>$C$6&amp;B15</f>
        <v>srim84Kr_Mylar</v>
      </c>
      <c r="D15" s="281"/>
      <c r="E15" s="45"/>
      <c r="F15" s="309">
        <v>50</v>
      </c>
      <c r="G15" s="46">
        <v>0</v>
      </c>
      <c r="H15" s="46"/>
      <c r="I15" s="13">
        <f>[1]!srRng2E($C$13,I$11-$G15)</f>
        <v>54.764050005631262</v>
      </c>
      <c r="J15" s="314">
        <f>[2]!e5adE_ICs(I15,$C$14,$C$15,$C$21,$C$25,$C$24,$C$33,$C$34)*$C$7</f>
        <v>3.1269584358606437</v>
      </c>
      <c r="K15" s="123"/>
      <c r="L15" s="13">
        <f>[1]!srRng2E($C$13,L$11-$G15)</f>
        <v>54.931647171764304</v>
      </c>
      <c r="M15" s="314">
        <f>[2]!e5adE_ICs(L15,$C$14,$C$15,$C$21,$C$25,$C$24,$C$33,$C$34)*$C$7</f>
        <v>3.1269584358606437</v>
      </c>
      <c r="N15" s="123"/>
      <c r="O15" s="13">
        <f>[1]!srRng2E($C$13,O$11-$G15)</f>
        <v>55.099244337897339</v>
      </c>
      <c r="P15" s="314">
        <f>[2]!e5adE_ICs(O15,$C$14,$C$15,$C$21,$C$25,$C$24,$C$33,$C$34)*$C$7</f>
        <v>3.1269584358606437</v>
      </c>
      <c r="Q15" s="123"/>
      <c r="R15" s="13">
        <f>[1]!srRng2E($C$13,R$11-$G15)</f>
        <v>55.266841504030374</v>
      </c>
      <c r="S15" s="314">
        <f>[2]!e5adE_ICs(R15,$C$14,$C$15,$C$21,$C$25,$C$24,$C$33,$C$34)*$C$7</f>
        <v>3.1269584358606437</v>
      </c>
      <c r="T15" s="123"/>
      <c r="U15" s="13">
        <f>[1]!srRng2E($C$13,U$11-$G15)</f>
        <v>55.434438670163416</v>
      </c>
      <c r="V15" s="314">
        <f>[2]!e5adE_ICs(U15,$C$14,$C$15,$C$21,$C$25,$C$24,$C$33,$C$34)*$C$7</f>
        <v>3.1269584358606437</v>
      </c>
      <c r="W15" s="50"/>
    </row>
    <row r="16" spans="2:30">
      <c r="B16" s="286"/>
      <c r="C16" s="280"/>
      <c r="D16" s="282"/>
      <c r="G16" s="46">
        <f>G15+F$15</f>
        <v>50</v>
      </c>
      <c r="H16" s="46"/>
      <c r="I16" s="13">
        <f>[1]!srRng2E($C$13,I$11-$G16)</f>
        <v>53.036841293567754</v>
      </c>
      <c r="J16" s="314">
        <f>[2]!e5adE_ICs(I16,$C$14,$C$15,$C$21,$C$25,$C$24,$C$33,$C$34)*$C$7</f>
        <v>3.1269584358606437</v>
      </c>
      <c r="K16" s="123"/>
      <c r="L16" s="13">
        <f>[1]!srRng2E($C$13,L$11-$G16)</f>
        <v>53.222204427361376</v>
      </c>
      <c r="M16" s="314">
        <f>[2]!e5adE_ICs(L16,$C$14,$C$15,$C$21,$C$25,$C$24,$C$33,$C$34)*$C$7</f>
        <v>3.1269584358606437</v>
      </c>
      <c r="N16" s="123"/>
      <c r="O16" s="13">
        <f>[1]!srRng2E($C$13,O$11-$G16)</f>
        <v>53.407567561155005</v>
      </c>
      <c r="P16" s="314">
        <f>[2]!e5adE_ICs(O16,$C$14,$C$15,$C$21,$C$25,$C$24,$C$33,$C$34)*$C$7</f>
        <v>3.1269584358606437</v>
      </c>
      <c r="Q16" s="123"/>
      <c r="R16" s="13">
        <f>[1]!srRng2E($C$13,R$11-$G16)</f>
        <v>53.590869842700002</v>
      </c>
      <c r="S16" s="314">
        <f>[2]!e5adE_ICs(R16,$C$14,$C$15,$C$21,$C$25,$C$24,$C$33,$C$34)*$C$7</f>
        <v>3.1269584358606437</v>
      </c>
      <c r="T16" s="123"/>
      <c r="U16" s="13">
        <f>[1]!srRng2E($C$13,U$11-$G16)</f>
        <v>53.758467008833044</v>
      </c>
      <c r="V16" s="314">
        <f>[2]!e5adE_ICs(U16,$C$14,$C$15,$C$21,$C$25,$C$24,$C$33,$C$34)*$C$7</f>
        <v>3.1269584358606437</v>
      </c>
      <c r="W16" s="123"/>
    </row>
    <row r="17" spans="2:23">
      <c r="G17" s="46">
        <f t="shared" ref="G17:G20" si="1">G16+F$15</f>
        <v>100</v>
      </c>
      <c r="H17" s="46"/>
      <c r="I17" s="13">
        <f>[1]!srRng2E($C$13,I$11-$G17)</f>
        <v>51.183209955631483</v>
      </c>
      <c r="J17" s="314">
        <f>[2]!e5adE_ICs(I17,$C$14,$C$15,$C$21,$C$25,$C$24,$C$33,$C$34)*$C$7</f>
        <v>3.1269584358606437</v>
      </c>
      <c r="K17" s="123"/>
      <c r="L17" s="13">
        <f>[1]!srRng2E($C$13,L$11-$G17)</f>
        <v>51.368573089425105</v>
      </c>
      <c r="M17" s="314">
        <f>[2]!e5adE_ICs(L17,$C$14,$C$15,$C$21,$C$25,$C$24,$C$33,$C$34)*$C$7</f>
        <v>3.1269584358606437</v>
      </c>
      <c r="N17" s="123"/>
      <c r="O17" s="13">
        <f>[1]!srRng2E($C$13,O$11-$G17)</f>
        <v>51.553936223218734</v>
      </c>
      <c r="P17" s="314">
        <f>[2]!e5adE_ICs(O17,$C$14,$C$15,$C$21,$C$25,$C$24,$C$33,$C$34)*$C$7</f>
        <v>3.1269584358606437</v>
      </c>
      <c r="Q17" s="123"/>
      <c r="R17" s="13">
        <f>[1]!srRng2E($C$13,R$11-$G17)</f>
        <v>51.739299357012364</v>
      </c>
      <c r="S17" s="314">
        <f>[2]!e5adE_ICs(R17,$C$14,$C$15,$C$21,$C$25,$C$24,$C$33,$C$34)*$C$7</f>
        <v>3.1269584358606437</v>
      </c>
      <c r="T17" s="123"/>
      <c r="U17" s="13">
        <f>[1]!srRng2E($C$13,U$11-$G17)</f>
        <v>51.924662490805986</v>
      </c>
      <c r="V17" s="314">
        <f>[2]!e5adE_ICs(U17,$C$14,$C$15,$C$21,$C$25,$C$24,$C$33,$C$34)*$C$7</f>
        <v>3.1269584358606437</v>
      </c>
      <c r="W17" s="45"/>
    </row>
    <row r="18" spans="2:23">
      <c r="G18" s="46">
        <f t="shared" si="1"/>
        <v>150</v>
      </c>
      <c r="H18" s="46"/>
      <c r="I18" s="13">
        <f>[1]!srRng2E($C$13,I$11-$G18)</f>
        <v>49.329578617695212</v>
      </c>
      <c r="J18" s="314">
        <f>[2]!e5adE_ICs(I18,$C$14,$C$15,$C$21,$C$25,$C$24,$C$33,$C$34)*$C$7</f>
        <v>3.2311903837226055</v>
      </c>
      <c r="K18" s="123"/>
      <c r="L18" s="13">
        <f>[1]!srRng2E($C$13,L$11-$G18)</f>
        <v>49.514941751488834</v>
      </c>
      <c r="M18" s="314">
        <f>[2]!e5adE_ICs(L18,$C$14,$C$15,$C$21,$C$25,$C$24,$C$33,$C$34)*$C$7</f>
        <v>3.2311903837226055</v>
      </c>
      <c r="N18" s="123"/>
      <c r="O18" s="13">
        <f>[1]!srRng2E($C$13,O$11-$G18)</f>
        <v>49.700304885282463</v>
      </c>
      <c r="P18" s="314">
        <f>[2]!e5adE_ICs(O18,$C$14,$C$15,$C$21,$C$25,$C$24,$C$33,$C$34)*$C$7</f>
        <v>3.2311903837226055</v>
      </c>
      <c r="Q18" s="123"/>
      <c r="R18" s="13">
        <f>[1]!srRng2E($C$13,R$11-$G18)</f>
        <v>49.885668019076093</v>
      </c>
      <c r="S18" s="314">
        <f>[2]!e5adE_ICs(R18,$C$14,$C$15,$C$21,$C$25,$C$24,$C$33,$C$34)*$C$7</f>
        <v>3.2311903837226055</v>
      </c>
      <c r="T18" s="123"/>
      <c r="U18" s="13">
        <f>[1]!srRng2E($C$13,U$11-$G18)</f>
        <v>50.071031152869715</v>
      </c>
      <c r="V18" s="314">
        <f>[2]!e5adE_ICs(U18,$C$14,$C$15,$C$21,$C$25,$C$24,$C$33,$C$34)*$C$7</f>
        <v>3.2311903837226055</v>
      </c>
      <c r="W18" s="45"/>
    </row>
    <row r="19" spans="2:23">
      <c r="B19" s="168" t="s">
        <v>104</v>
      </c>
      <c r="C19" s="178" t="s">
        <v>2</v>
      </c>
      <c r="D19" s="152" t="s">
        <v>98</v>
      </c>
      <c r="G19" s="46">
        <f t="shared" si="1"/>
        <v>200</v>
      </c>
      <c r="H19" s="46"/>
      <c r="I19" s="13">
        <f>[1]!srRng2E($C$13,I$11-$G19)</f>
        <v>47.466665403394416</v>
      </c>
      <c r="J19" s="314">
        <f>[2]!e5adE_ICs(I19,$C$14,$C$15,$C$21,$C$25,$C$24,$C$33,$C$34)*$C$7</f>
        <v>3.4619896968458193</v>
      </c>
      <c r="K19" s="123"/>
      <c r="L19" s="13">
        <f>[1]!srRng2E($C$13,L$11-$G19)</f>
        <v>47.661310413552563</v>
      </c>
      <c r="M19" s="314">
        <f>[2]!e5adE_ICs(L19,$C$14,$C$15,$C$21,$C$25,$C$24,$C$33,$C$34)*$C$7</f>
        <v>3.4619896968458193</v>
      </c>
      <c r="N19" s="123"/>
      <c r="O19" s="13">
        <f>[1]!srRng2E($C$13,O$11-$G19)</f>
        <v>47.846673547346192</v>
      </c>
      <c r="P19" s="314">
        <f>[2]!e5adE_ICs(O19,$C$14,$C$15,$C$21,$C$25,$C$24,$C$33,$C$34)*$C$7</f>
        <v>3.4619896968458193</v>
      </c>
      <c r="Q19" s="123"/>
      <c r="R19" s="13">
        <f>[1]!srRng2E($C$13,R$11-$G19)</f>
        <v>48.032036681139822</v>
      </c>
      <c r="S19" s="314">
        <f>[2]!e5adE_ICs(R19,$C$14,$C$15,$C$21,$C$25,$C$24,$C$33,$C$34)*$C$7</f>
        <v>3.2311903837226055</v>
      </c>
      <c r="T19" s="123"/>
      <c r="U19" s="13">
        <f>[1]!srRng2E($C$13,U$11-$G19)</f>
        <v>48.217399814933451</v>
      </c>
      <c r="V19" s="314">
        <f>[2]!e5adE_ICs(U19,$C$14,$C$15,$C$21,$C$25,$C$24,$C$33,$C$34)*$C$7</f>
        <v>3.2311903837226055</v>
      </c>
    </row>
    <row r="20" spans="2:23">
      <c r="B20" s="194" t="s">
        <v>59</v>
      </c>
      <c r="C20" s="102"/>
      <c r="D20" s="165">
        <f>ThAir1</f>
        <v>145</v>
      </c>
      <c r="G20" s="46">
        <f t="shared" si="1"/>
        <v>250</v>
      </c>
      <c r="H20" s="46"/>
      <c r="I20" s="13">
        <f>[1]!srRng2E($C$13,I$11-$G20)</f>
        <v>45.492802506332154</v>
      </c>
      <c r="J20" s="314">
        <f>[2]!e5adE_ICs(I20,$C$14,$C$15,$C$21,$C$25,$C$24,$C$33,$C$34)*$C$7</f>
        <v>3.4619896968458193</v>
      </c>
      <c r="K20" s="123"/>
      <c r="L20" s="13">
        <f>[1]!srRng2E($C$13,L$11-$G20)</f>
        <v>45.690188796038377</v>
      </c>
      <c r="M20" s="314">
        <f>[2]!e5adE_ICs(L20,$C$14,$C$15,$C$21,$C$25,$C$24,$C$33,$C$34)*$C$7</f>
        <v>3.4619896968458193</v>
      </c>
      <c r="N20" s="123"/>
      <c r="O20" s="13">
        <f>[1]!srRng2E($C$13,O$11-$G20)</f>
        <v>45.887575085744608</v>
      </c>
      <c r="P20" s="314">
        <f>[2]!e5adE_ICs(O20,$C$14,$C$15,$C$21,$C$25,$C$24,$C$33,$C$34)*$C$7</f>
        <v>3.4619896968458193</v>
      </c>
      <c r="Q20" s="123"/>
      <c r="R20" s="13">
        <f>[1]!srRng2E($C$13,R$11-$G20)</f>
        <v>46.084961375450831</v>
      </c>
      <c r="S20" s="314">
        <f>[2]!e5adE_ICs(R20,$C$14,$C$15,$C$21,$C$25,$C$24,$C$33,$C$34)*$C$7</f>
        <v>3.4619896968458193</v>
      </c>
      <c r="T20" s="123"/>
      <c r="U20" s="13">
        <f>[1]!srRng2E($C$13,U$11-$G20)</f>
        <v>46.282347665157054</v>
      </c>
      <c r="V20" s="314">
        <f>[2]!e5adE_ICs(U20,$C$14,$C$15,$C$21,$C$25,$C$24,$C$33,$C$34)*$C$7</f>
        <v>3.4619896968458193</v>
      </c>
    </row>
    <row r="21" spans="2:23">
      <c r="B21" s="137" t="s">
        <v>62</v>
      </c>
      <c r="C21" s="386">
        <f>ThAir2</f>
        <v>165</v>
      </c>
      <c r="D21" s="167">
        <f>ThAir2</f>
        <v>165</v>
      </c>
      <c r="G21" s="315" t="e">
        <f>NA()</f>
        <v>#N/A</v>
      </c>
      <c r="H21" s="334" t="s">
        <v>166</v>
      </c>
      <c r="I21" s="46"/>
      <c r="J21" s="46"/>
      <c r="K21" s="45"/>
      <c r="L21" s="46"/>
      <c r="M21" s="46"/>
      <c r="N21" s="45"/>
      <c r="O21" s="46"/>
      <c r="P21" s="314"/>
      <c r="Q21" s="45"/>
      <c r="R21" s="13"/>
      <c r="S21" s="314"/>
      <c r="T21" s="45"/>
      <c r="U21" s="13"/>
      <c r="V21" s="314"/>
    </row>
    <row r="22" spans="2:23">
      <c r="C22" s="192" t="s">
        <v>185</v>
      </c>
      <c r="F22" s="309">
        <v>50</v>
      </c>
      <c r="G22" s="206">
        <f>G20+F22</f>
        <v>300</v>
      </c>
      <c r="H22" s="46"/>
      <c r="I22" s="13">
        <f>[1]!srRng2E($C$13,I$11-$G22)</f>
        <v>43.466511969219177</v>
      </c>
      <c r="J22" s="314">
        <f>[2]!e5adE_ICs(I22,$C$14,$C$15,$C$21,$C$25,$C$24,$C$33,$C$34)*$C$7</f>
        <v>3.4619896968458193</v>
      </c>
      <c r="K22" s="123"/>
      <c r="L22" s="13">
        <f>[1]!srRng2E($C$13,L$11-$G22)</f>
        <v>43.673105782643475</v>
      </c>
      <c r="M22" s="314">
        <f>[2]!e5adE_ICs(L22,$C$14,$C$15,$C$21,$C$25,$C$24,$C$33,$C$34)*$C$7</f>
        <v>3.4619896968458193</v>
      </c>
      <c r="N22" s="123"/>
      <c r="O22" s="13">
        <f>[1]!srRng2E($C$13,O$11-$G22)</f>
        <v>43.879699596067773</v>
      </c>
      <c r="P22" s="314">
        <f>[2]!e5adE_ICs(O22,$C$14,$C$15,$C$21,$C$25,$C$24,$C$33,$C$34)*$C$7</f>
        <v>3.4619896968458193</v>
      </c>
      <c r="Q22" s="123"/>
      <c r="R22" s="13">
        <f>[1]!srRng2E($C$13,R$11-$G22)</f>
        <v>44.086293409492079</v>
      </c>
      <c r="S22" s="314">
        <f>[2]!e5adE_ICs(R22,$C$14,$C$15,$C$21,$C$25,$C$24,$C$33,$C$34)*$C$7</f>
        <v>3.4619896968458193</v>
      </c>
      <c r="T22" s="123"/>
      <c r="U22" s="13">
        <f>[1]!srRng2E($C$13,U$11-$G22)</f>
        <v>44.292887222916377</v>
      </c>
      <c r="V22" s="314">
        <f>[2]!e5adE_ICs(U22,$C$14,$C$15,$C$21,$C$25,$C$24,$C$33,$C$34)*$C$7</f>
        <v>3.4619896968458193</v>
      </c>
    </row>
    <row r="23" spans="2:23">
      <c r="G23" s="46">
        <f>G22+F$22</f>
        <v>350</v>
      </c>
      <c r="H23" s="46"/>
      <c r="I23" s="13">
        <f>[1]!srRng2E($C$13,I$11-$G23)</f>
        <v>41.38735062663946</v>
      </c>
      <c r="J23" s="314">
        <f>[2]!e5adE_ICs(I23,$C$14,$C$15,$C$21,$C$25,$C$24,$C$33,$C$34)*$C$7</f>
        <v>3.890188278018968</v>
      </c>
      <c r="K23" s="123"/>
      <c r="L23" s="13">
        <f>[1]!srRng2E($C$13,L$11-$G23)</f>
        <v>41.604210906163686</v>
      </c>
      <c r="M23" s="314">
        <f>[2]!e5adE_ICs(L23,$C$14,$C$15,$C$21,$C$25,$C$24,$C$33,$C$34)*$C$7</f>
        <v>3.890188278018968</v>
      </c>
      <c r="N23" s="123"/>
      <c r="O23" s="13">
        <f>[1]!srRng2E($C$13,O$11-$G23)</f>
        <v>41.813761461824768</v>
      </c>
      <c r="P23" s="314">
        <f>[2]!e5adE_ICs(O23,$C$14,$C$15,$C$21,$C$25,$C$24,$C$33,$C$34)*$C$7</f>
        <v>3.890188278018968</v>
      </c>
      <c r="Q23" s="123"/>
      <c r="R23" s="13">
        <f>[1]!srRng2E($C$13,R$11-$G23)</f>
        <v>42.020355275249067</v>
      </c>
      <c r="S23" s="314">
        <f>[2]!e5adE_ICs(R23,$C$14,$C$15,$C$21,$C$25,$C$24,$C$33,$C$34)*$C$7</f>
        <v>3.890188278018968</v>
      </c>
      <c r="T23" s="123"/>
      <c r="U23" s="13">
        <f>[1]!srRng2E($C$13,U$11-$G23)</f>
        <v>42.226949088673365</v>
      </c>
      <c r="V23" s="314">
        <f>[2]!e5adE_ICs(U23,$C$14,$C$15,$C$21,$C$25,$C$24,$C$33,$C$34)*$C$7</f>
        <v>3.6131602587451255</v>
      </c>
    </row>
    <row r="24" spans="2:23">
      <c r="B24" s="113" t="s">
        <v>92</v>
      </c>
      <c r="C24" s="431">
        <f>AirT</f>
        <v>27.7</v>
      </c>
      <c r="D24" s="130" t="s">
        <v>94</v>
      </c>
      <c r="G24" s="46">
        <f t="shared" ref="G24:G29" si="2">G23+F$22</f>
        <v>400</v>
      </c>
      <c r="H24" s="46"/>
      <c r="I24" s="13">
        <f>[1]!srRng2E($C$13,I$11-$G24)</f>
        <v>39.218747831397202</v>
      </c>
      <c r="J24" s="314">
        <f>[2]!e5adE_ICs(I24,$C$14,$C$15,$C$21,$C$25,$C$24,$C$33,$C$34)*$C$7</f>
        <v>4.0265727137859813</v>
      </c>
      <c r="K24" s="123"/>
      <c r="L24" s="13">
        <f>[1]!srRng2E($C$13,L$11-$G24)</f>
        <v>39.435608110921429</v>
      </c>
      <c r="M24" s="314">
        <f>[2]!e5adE_ICs(L24,$C$14,$C$15,$C$21,$C$25,$C$24,$C$33,$C$34)*$C$7</f>
        <v>4.0265727137859813</v>
      </c>
      <c r="N24" s="123"/>
      <c r="O24" s="13">
        <f>[1]!srRng2E($C$13,O$11-$G24)</f>
        <v>39.652468390445655</v>
      </c>
      <c r="P24" s="314">
        <f>[2]!e5adE_ICs(O24,$C$14,$C$15,$C$21,$C$25,$C$24,$C$33,$C$34)*$C$7</f>
        <v>3.8901882780195649</v>
      </c>
      <c r="Q24" s="123"/>
      <c r="R24" s="13">
        <f>[1]!srRng2E($C$13,R$11-$G24)</f>
        <v>39.869328669969882</v>
      </c>
      <c r="S24" s="314">
        <f>[2]!e5adE_ICs(R24,$C$14,$C$15,$C$21,$C$25,$C$24,$C$33,$C$34)*$C$7</f>
        <v>3.8901882780195649</v>
      </c>
      <c r="T24" s="123"/>
      <c r="U24" s="13">
        <f>[1]!srRng2E($C$13,U$11-$G24)</f>
        <v>40.086188949494108</v>
      </c>
      <c r="V24" s="314">
        <f>[2]!e5adE_ICs(U24,$C$14,$C$15,$C$21,$C$25,$C$24,$C$33,$C$34)*$C$7</f>
        <v>3.8901882780195649</v>
      </c>
    </row>
    <row r="25" spans="2:23">
      <c r="B25" s="28" t="s">
        <v>93</v>
      </c>
      <c r="C25" s="432">
        <f>AirP</f>
        <v>1008</v>
      </c>
      <c r="D25" s="2" t="s">
        <v>95</v>
      </c>
      <c r="G25" s="46">
        <f t="shared" si="2"/>
        <v>450</v>
      </c>
      <c r="H25" s="46"/>
      <c r="I25" s="13">
        <f>[1]!srRng2E($C$13,I$11-$G25)</f>
        <v>36.963043351164899</v>
      </c>
      <c r="J25" s="314">
        <f>[2]!e5adE_ICs(I25,$C$14,$C$15,$C$21,$C$25,$C$24,$C$33,$C$34)*$C$7</f>
        <v>4.0265727137859813</v>
      </c>
      <c r="K25" s="123"/>
      <c r="L25" s="13">
        <f>[1]!srRng2E($C$13,L$11-$G25)</f>
        <v>37.191418924844335</v>
      </c>
      <c r="M25" s="314">
        <f>[2]!e5adE_ICs(L25,$C$14,$C$15,$C$21,$C$25,$C$24,$C$33,$C$34)*$C$7</f>
        <v>4.0265727137859813</v>
      </c>
      <c r="N25" s="123"/>
      <c r="O25" s="13">
        <f>[1]!srRng2E($C$13,O$11-$G25)</f>
        <v>37.419794498523778</v>
      </c>
      <c r="P25" s="314">
        <f>[2]!e5adE_ICs(O25,$C$14,$C$15,$C$21,$C$25,$C$24,$C$33,$C$34)*$C$7</f>
        <v>4.0265727137859813</v>
      </c>
      <c r="Q25" s="123"/>
      <c r="R25" s="13">
        <f>[1]!srRng2E($C$13,R$11-$G25)</f>
        <v>37.648170072203222</v>
      </c>
      <c r="S25" s="314">
        <f>[2]!e5adE_ICs(R25,$C$14,$C$15,$C$21,$C$25,$C$24,$C$33,$C$34)*$C$7</f>
        <v>4.0265727137859813</v>
      </c>
      <c r="T25" s="123"/>
      <c r="U25" s="13">
        <f>[1]!srRng2E($C$13,U$11-$G25)</f>
        <v>37.876545645882658</v>
      </c>
      <c r="V25" s="314">
        <f>[2]!e5adE_ICs(U25,$C$14,$C$15,$C$21,$C$25,$C$24,$C$33,$C$34)*$C$7</f>
        <v>4.0265727137859813</v>
      </c>
    </row>
    <row r="26" spans="2:23">
      <c r="C26" s="192" t="s">
        <v>185</v>
      </c>
      <c r="G26" s="46">
        <f t="shared" si="2"/>
        <v>500</v>
      </c>
      <c r="H26" s="46"/>
      <c r="I26" s="13">
        <f>[1]!srRng2E($C$13,I$11-$G26)</f>
        <v>34.620005717685423</v>
      </c>
      <c r="J26" s="314">
        <f>[2]!e5adE_ICs(I26,$C$14,$C$15,$C$21,$C$25,$C$24,$C$33,$C$34)*$C$7</f>
        <v>4.2770786935971472</v>
      </c>
      <c r="K26" s="123"/>
      <c r="L26" s="13">
        <f>[1]!srRng2E($C$13,L$11-$G26)</f>
        <v>34.861462027614877</v>
      </c>
      <c r="M26" s="314">
        <f>[2]!e5adE_ICs(L26,$C$14,$C$15,$C$21,$C$25,$C$24,$C$33,$C$34)*$C$7</f>
        <v>4.2770786935971472</v>
      </c>
      <c r="N26" s="123"/>
      <c r="O26" s="13">
        <f>[1]!srRng2E($C$13,O$11-$G26)</f>
        <v>35.102918337544331</v>
      </c>
      <c r="P26" s="314">
        <f>[2]!e5adE_ICs(O26,$C$14,$C$15,$C$21,$C$25,$C$24,$C$33,$C$34)*$C$7</f>
        <v>4.2770786935971472</v>
      </c>
      <c r="Q26" s="123"/>
      <c r="R26" s="13">
        <f>[1]!srRng2E($C$13,R$11-$G26)</f>
        <v>35.344374647473785</v>
      </c>
      <c r="S26" s="314">
        <f>[2]!e5adE_ICs(R26,$C$14,$C$15,$C$21,$C$25,$C$24,$C$33,$C$34)*$C$7</f>
        <v>4.2770786935971472</v>
      </c>
      <c r="T26" s="123"/>
      <c r="U26" s="13">
        <f>[1]!srRng2E($C$13,U$11-$G26)</f>
        <v>35.585830957403246</v>
      </c>
      <c r="V26" s="314">
        <f>[2]!e5adE_ICs(U26,$C$14,$C$15,$C$21,$C$25,$C$24,$C$33,$C$34)*$C$7</f>
        <v>4.2770786935971472</v>
      </c>
    </row>
    <row r="27" spans="2:23">
      <c r="B27" s="45"/>
      <c r="C27" s="45"/>
      <c r="D27" s="45"/>
      <c r="G27" s="46">
        <f t="shared" si="2"/>
        <v>550</v>
      </c>
      <c r="H27" s="46"/>
      <c r="I27" s="13">
        <f>[1]!srRng2E($C$13,I$11-$G27)</f>
        <v>32.172885510953698</v>
      </c>
      <c r="J27" s="314">
        <f>[2]!e5adE_ICs(I27,$C$14,$C$15,$C$21,$C$25,$C$24,$C$33,$C$34)*$C$7</f>
        <v>4.5199902784519566</v>
      </c>
      <c r="K27" s="123"/>
      <c r="L27" s="13">
        <f>[1]!srRng2E($C$13,L$11-$G27)</f>
        <v>32.429100255804805</v>
      </c>
      <c r="M27" s="314">
        <f>[2]!e5adE_ICs(L27,$C$14,$C$15,$C$21,$C$25,$C$24,$C$33,$C$34)*$C$7</f>
        <v>4.5199902784519566</v>
      </c>
      <c r="N27" s="123"/>
      <c r="O27" s="13">
        <f>[1]!srRng2E($C$13,O$11-$G27)</f>
        <v>32.685315000655912</v>
      </c>
      <c r="P27" s="314">
        <f>[2]!e5adE_ICs(O27,$C$14,$C$15,$C$21,$C$25,$C$24,$C$33,$C$34)*$C$7</f>
        <v>4.519990278452255</v>
      </c>
      <c r="Q27" s="123"/>
      <c r="R27" s="13">
        <f>[1]!srRng2E($C$13,R$11-$G27)</f>
        <v>32.929811548179231</v>
      </c>
      <c r="S27" s="314">
        <f>[2]!e5adE_ICs(R27,$C$14,$C$15,$C$21,$C$25,$C$24,$C$33,$C$34)*$C$7</f>
        <v>4.5199902784519566</v>
      </c>
      <c r="T27" s="123"/>
      <c r="U27" s="13">
        <f>[1]!srRng2E($C$13,U$11-$G27)</f>
        <v>33.171267858108685</v>
      </c>
      <c r="V27" s="314">
        <f>[2]!e5adE_ICs(U27,$C$14,$C$15,$C$21,$C$25,$C$24,$C$33,$C$34)*$C$7</f>
        <v>4.519990278452255</v>
      </c>
    </row>
    <row r="28" spans="2:23">
      <c r="B28" s="189" t="s">
        <v>100</v>
      </c>
      <c r="C28" s="190"/>
      <c r="D28" s="191"/>
      <c r="G28" s="46">
        <f t="shared" si="2"/>
        <v>600</v>
      </c>
      <c r="H28" s="46"/>
      <c r="I28" s="13">
        <f>[1]!srRng2E($C$13,I$11-$G28)</f>
        <v>29.601103261817549</v>
      </c>
      <c r="J28" s="314">
        <f>[2]!e5adE_ICs(I28,$C$14,$C$15,$C$21,$C$25,$C$24,$C$33,$C$34)*$C$7</f>
        <v>4.7931028239559907</v>
      </c>
      <c r="K28" s="123"/>
      <c r="L28" s="13">
        <f>[1]!srRng2E($C$13,L$11-$G28)</f>
        <v>29.866952807293718</v>
      </c>
      <c r="M28" s="314">
        <f>[2]!e5adE_ICs(L28,$C$14,$C$15,$C$21,$C$25,$C$24,$C$33,$C$34)*$C$7</f>
        <v>4.7931028239559907</v>
      </c>
      <c r="N28" s="123"/>
      <c r="O28" s="13">
        <f>[1]!srRng2E($C$13,O$11-$G28)</f>
        <v>30.123167552144828</v>
      </c>
      <c r="P28" s="314">
        <f>[2]!e5adE_ICs(O28,$C$14,$C$15,$C$21,$C$25,$C$24,$C$33,$C$34)*$C$7</f>
        <v>4.7931028239559907</v>
      </c>
      <c r="Q28" s="123"/>
      <c r="R28" s="13">
        <f>[1]!srRng2E($C$13,R$11-$G28)</f>
        <v>30.379382296995935</v>
      </c>
      <c r="S28" s="314">
        <f>[2]!e5adE_ICs(R28,$C$14,$C$15,$C$21,$C$25,$C$24,$C$33,$C$34)*$C$7</f>
        <v>4.7931028239556923</v>
      </c>
      <c r="T28" s="123"/>
      <c r="U28" s="13">
        <f>[1]!srRng2E($C$13,U$11-$G28)</f>
        <v>30.635597041847046</v>
      </c>
      <c r="V28" s="314">
        <f>[2]!e5adE_ICs(U28,$C$14,$C$15,$C$21,$C$25,$C$24,$C$33,$C$34)*$C$7</f>
        <v>4.7931028239559907</v>
      </c>
    </row>
    <row r="29" spans="2:23">
      <c r="B29" s="176" t="s">
        <v>34</v>
      </c>
      <c r="C29" s="387">
        <f>ExpR</f>
        <v>988</v>
      </c>
      <c r="D29" s="175" t="s">
        <v>99</v>
      </c>
      <c r="G29" s="46">
        <f t="shared" si="2"/>
        <v>650</v>
      </c>
      <c r="H29" s="46"/>
      <c r="I29" s="13">
        <f>[1]!srRng2E($C$13,I$11-$G29)</f>
        <v>26.875654107796962</v>
      </c>
      <c r="J29" s="314">
        <f>[2]!e5adE_ICs(I29,$C$14,$C$15,$C$21,$C$25,$C$24,$C$33,$C$34)*$C$7</f>
        <v>5.1336269832747234</v>
      </c>
      <c r="K29" s="123"/>
      <c r="L29" s="13">
        <f>[1]!srRng2E($C$13,L$11-$G29)</f>
        <v>27.14819902319902</v>
      </c>
      <c r="M29" s="314">
        <f>[2]!e5adE_ICs(L29,$C$14,$C$15,$C$21,$C$25,$C$24,$C$33,$C$34)*$C$7</f>
        <v>5.1336269832747234</v>
      </c>
      <c r="N29" s="123"/>
      <c r="O29" s="13">
        <f>[1]!srRng2E($C$13,O$11-$G29)</f>
        <v>27.420743938601081</v>
      </c>
      <c r="P29" s="314">
        <f>[2]!e5adE_ICs(O29,$C$14,$C$15,$C$21,$C$25,$C$24,$C$33,$C$34)*$C$7</f>
        <v>5.1336269832747234</v>
      </c>
      <c r="Q29" s="123"/>
      <c r="R29" s="13">
        <f>[1]!srRng2E($C$13,R$11-$G29)</f>
        <v>27.693288854003139</v>
      </c>
      <c r="S29" s="314">
        <f>[2]!e5adE_ICs(R29,$C$14,$C$15,$C$21,$C$25,$C$24,$C$33,$C$34)*$C$7</f>
        <v>5.1336269832747234</v>
      </c>
      <c r="T29" s="123"/>
      <c r="U29" s="13">
        <f>[1]!srRng2E($C$13,U$11-$G29)</f>
        <v>27.965833769405197</v>
      </c>
      <c r="V29" s="314">
        <f>[2]!e5adE_ICs(U29,$C$14,$C$15,$C$21,$C$25,$C$24,$C$33,$C$34)*$C$7</f>
        <v>5.1336269832747234</v>
      </c>
      <c r="W29" s="9"/>
    </row>
    <row r="30" spans="2:23">
      <c r="B30" s="45"/>
      <c r="C30" s="192" t="s">
        <v>186</v>
      </c>
      <c r="D30" s="45"/>
      <c r="G30" s="315" t="e">
        <f>NA()</f>
        <v>#N/A</v>
      </c>
      <c r="H30" s="46"/>
      <c r="I30" s="46"/>
      <c r="J30" s="46"/>
      <c r="K30" s="45"/>
      <c r="L30" s="46"/>
      <c r="M30" s="46"/>
      <c r="N30" s="45"/>
      <c r="O30" s="46"/>
      <c r="P30" s="314"/>
      <c r="Q30" s="45"/>
      <c r="R30" s="13"/>
      <c r="S30" s="314"/>
      <c r="T30" s="45"/>
      <c r="U30" s="13"/>
      <c r="V30" s="314"/>
      <c r="W30" s="9"/>
    </row>
    <row r="31" spans="2:23">
      <c r="F31" s="309">
        <v>11</v>
      </c>
      <c r="G31" s="206">
        <f>G29+F31</f>
        <v>661</v>
      </c>
      <c r="H31" s="46"/>
      <c r="I31" s="13">
        <f>[1]!srRng2E($C$13,I$11-$G31)</f>
        <v>26.240293255679376</v>
      </c>
      <c r="J31" s="314">
        <f>[2]!e5adE_ICs(I31,$C$14,$C$15,$C$21,$C$25,$C$24,$C$33,$C$34)*$C$7</f>
        <v>5.4184299335766042</v>
      </c>
      <c r="K31" s="123"/>
      <c r="L31" s="13">
        <f>[1]!srRng2E($C$13,L$11-$G31)</f>
        <v>26.531962255698044</v>
      </c>
      <c r="M31" s="314">
        <f>[2]!e5adE_ICs(L31,$C$14,$C$15,$C$21,$C$25,$C$24,$C$33,$C$34)*$C$7</f>
        <v>5.1336269832747234</v>
      </c>
      <c r="N31" s="123"/>
      <c r="O31" s="13">
        <f>[1]!srRng2E($C$13,O$11-$G31)</f>
        <v>26.821145124716551</v>
      </c>
      <c r="P31" s="314">
        <f>[2]!e5adE_ICs(O31,$C$14,$C$15,$C$21,$C$25,$C$24,$C$33,$C$34)*$C$7</f>
        <v>5.1336269832747234</v>
      </c>
      <c r="Q31" s="123"/>
      <c r="R31" s="13">
        <f>[1]!srRng2E($C$13,R$11-$G31)</f>
        <v>27.093690040118609</v>
      </c>
      <c r="S31" s="314">
        <f>[2]!e5adE_ICs(R31,$C$14,$C$15,$C$21,$C$25,$C$24,$C$33,$C$34)*$C$7</f>
        <v>5.1336269832747234</v>
      </c>
      <c r="T31" s="123"/>
      <c r="U31" s="13">
        <f>[1]!srRng2E($C$13,U$11-$G31)</f>
        <v>27.366234955520667</v>
      </c>
      <c r="V31" s="314">
        <f>[2]!e5adE_ICs(U31,$C$14,$C$15,$C$21,$C$25,$C$24,$C$33,$C$34)*$C$7</f>
        <v>5.1336269832747234</v>
      </c>
      <c r="W31" s="9"/>
    </row>
    <row r="32" spans="2:23">
      <c r="B32" s="103" t="s">
        <v>101</v>
      </c>
      <c r="C32" s="152" t="s">
        <v>98</v>
      </c>
      <c r="G32" s="46">
        <f>G31+F$31</f>
        <v>672</v>
      </c>
      <c r="H32" s="46"/>
      <c r="I32" s="13">
        <f>[1]!srRng2E($C$13,I$11-$G32)</f>
        <v>25.598621455638312</v>
      </c>
      <c r="J32" s="314">
        <f>[2]!e5adE_ICs(I32,$C$14,$C$15,$C$21,$C$25,$C$24,$C$33,$C$34)*$C$7</f>
        <v>5.4184299335766042</v>
      </c>
      <c r="K32" s="123"/>
      <c r="L32" s="13">
        <f>[1]!srRng2E($C$13,L$11-$G32)</f>
        <v>25.890290455656977</v>
      </c>
      <c r="M32" s="314">
        <f>[2]!e5adE_ICs(L32,$C$14,$C$15,$C$21,$C$25,$C$24,$C$33,$C$34)*$C$7</f>
        <v>5.4184299335766042</v>
      </c>
      <c r="N32" s="123"/>
      <c r="O32" s="13">
        <f>[1]!srRng2E($C$13,O$11-$G32)</f>
        <v>26.181959455675646</v>
      </c>
      <c r="P32" s="314">
        <f>[2]!e5adE_ICs(O32,$C$14,$C$15,$C$21,$C$25,$C$24,$C$33,$C$34)*$C$7</f>
        <v>5.4184299335766042</v>
      </c>
      <c r="Q32" s="123"/>
      <c r="R32" s="13">
        <f>[1]!srRng2E($C$13,R$11-$G32)</f>
        <v>26.47362845569431</v>
      </c>
      <c r="S32" s="314">
        <f>[2]!e5adE_ICs(R32,$C$14,$C$15,$C$21,$C$25,$C$24,$C$33,$C$34)*$C$7</f>
        <v>5.2683707039146697</v>
      </c>
      <c r="T32" s="123"/>
      <c r="U32" s="13">
        <f>[1]!srRng2E($C$13,U$11-$G32)</f>
        <v>26.765297455712975</v>
      </c>
      <c r="V32" s="314">
        <f>[2]!e5adE_ICs(U32,$C$14,$C$15,$C$21,$C$25,$C$24,$C$33,$C$34)*$C$7</f>
        <v>5.1336269832747234</v>
      </c>
      <c r="W32" s="9"/>
    </row>
    <row r="33" spans="2:23">
      <c r="B33" s="104" t="s">
        <v>65</v>
      </c>
      <c r="C33" s="389">
        <f>ICs_Mylar</f>
        <v>4</v>
      </c>
      <c r="G33" s="46">
        <f t="shared" ref="G33:G50" si="3">G32+F$31</f>
        <v>683</v>
      </c>
      <c r="H33" s="46"/>
      <c r="I33" s="13">
        <f>[1]!srRng2E($C$13,I$11-$G33)</f>
        <v>24.956949655597246</v>
      </c>
      <c r="J33" s="314">
        <f>[2]!e5adE_ICs(I33,$C$14,$C$15,$C$21,$C$25,$C$24,$C$33,$C$34)*$C$7</f>
        <v>5.6390757133033134</v>
      </c>
      <c r="K33" s="123"/>
      <c r="L33" s="13">
        <f>[1]!srRng2E($C$13,L$11-$G33)</f>
        <v>25.24861865561591</v>
      </c>
      <c r="M33" s="314">
        <f>[2]!e5adE_ICs(L33,$C$14,$C$15,$C$21,$C$25,$C$24,$C$33,$C$34)*$C$7</f>
        <v>5.6390757133033134</v>
      </c>
      <c r="N33" s="123"/>
      <c r="O33" s="13">
        <f>[1]!srRng2E($C$13,O$11-$G33)</f>
        <v>25.540287655634579</v>
      </c>
      <c r="P33" s="314">
        <f>[2]!e5adE_ICs(O33,$C$14,$C$15,$C$21,$C$25,$C$24,$C$33,$C$34)*$C$7</f>
        <v>5.4184299335766042</v>
      </c>
      <c r="Q33" s="123"/>
      <c r="R33" s="13">
        <f>[1]!srRng2E($C$13,R$11-$G33)</f>
        <v>25.831956655653244</v>
      </c>
      <c r="S33" s="314">
        <f>[2]!e5adE_ICs(R33,$C$14,$C$15,$C$21,$C$25,$C$24,$C$33,$C$34)*$C$7</f>
        <v>5.4184299335766042</v>
      </c>
      <c r="T33" s="123"/>
      <c r="U33" s="13">
        <f>[1]!srRng2E($C$13,U$11-$G33)</f>
        <v>26.123625655671912</v>
      </c>
      <c r="V33" s="314">
        <f>[2]!e5adE_ICs(U33,$C$14,$C$15,$C$21,$C$25,$C$24,$C$33,$C$34)*$C$7</f>
        <v>5.4184299335766042</v>
      </c>
      <c r="W33" s="9"/>
    </row>
    <row r="34" spans="2:23">
      <c r="B34" s="150" t="s">
        <v>67</v>
      </c>
      <c r="C34" s="390">
        <f>ICs_Th</f>
        <v>2</v>
      </c>
      <c r="G34" s="46">
        <f t="shared" si="3"/>
        <v>694</v>
      </c>
      <c r="H34" s="46"/>
      <c r="I34" s="13">
        <f>[1]!srRng2E($C$13,I$11-$G34)</f>
        <v>24.315277855556179</v>
      </c>
      <c r="J34" s="314">
        <f>[2]!e5adE_ICs(I34,$C$14,$C$15,$C$21,$C$25,$C$24,$C$33,$C$34)*$C$7</f>
        <v>5.8838064650489343</v>
      </c>
      <c r="K34" s="123"/>
      <c r="L34" s="13">
        <f>[1]!srRng2E($C$13,L$11-$G34)</f>
        <v>24.606946855574844</v>
      </c>
      <c r="M34" s="314">
        <f>[2]!e5adE_ICs(L34,$C$14,$C$15,$C$21,$C$25,$C$24,$C$33,$C$34)*$C$7</f>
        <v>5.6390757133033134</v>
      </c>
      <c r="N34" s="123"/>
      <c r="O34" s="13">
        <f>[1]!srRng2E($C$13,O$11-$G34)</f>
        <v>24.898615855593512</v>
      </c>
      <c r="P34" s="314">
        <f>[2]!e5adE_ICs(O34,$C$14,$C$15,$C$21,$C$25,$C$24,$C$33,$C$34)*$C$7</f>
        <v>5.6390757133033134</v>
      </c>
      <c r="Q34" s="123"/>
      <c r="R34" s="13">
        <f>[1]!srRng2E($C$13,R$11-$G34)</f>
        <v>25.190284855612177</v>
      </c>
      <c r="S34" s="314">
        <f>[2]!e5adE_ICs(R34,$C$14,$C$15,$C$21,$C$25,$C$24,$C$33,$C$34)*$C$7</f>
        <v>5.6390757133033134</v>
      </c>
      <c r="T34" s="123"/>
      <c r="U34" s="13">
        <f>[1]!srRng2E($C$13,U$11-$G34)</f>
        <v>25.481953855630845</v>
      </c>
      <c r="V34" s="314">
        <f>[2]!e5adE_ICs(U34,$C$14,$C$15,$C$21,$C$25,$C$24,$C$33,$C$34)*$C$7</f>
        <v>5.4184299335766042</v>
      </c>
      <c r="W34" s="9"/>
    </row>
    <row r="35" spans="2:23">
      <c r="C35" s="192" t="s">
        <v>187</v>
      </c>
      <c r="G35" s="46">
        <f t="shared" si="3"/>
        <v>705</v>
      </c>
      <c r="H35" s="46"/>
      <c r="I35" s="13">
        <f>[1]!srRng2E($C$13,I$11-$G35)</f>
        <v>23.663648998910634</v>
      </c>
      <c r="J35" s="314">
        <f>[2]!e5adE_ICs(I35,$C$14,$C$15,$C$21,$C$25,$C$24,$C$33,$C$34)*$C$7</f>
        <v>5.8838064650492328</v>
      </c>
      <c r="K35" s="123"/>
      <c r="L35" s="13">
        <f>[1]!srRng2E($C$13,L$11-$G35)</f>
        <v>23.96527505553378</v>
      </c>
      <c r="M35" s="314">
        <f>[2]!e5adE_ICs(L35,$C$14,$C$15,$C$21,$C$25,$C$24,$C$33,$C$34)*$C$7</f>
        <v>5.8838064650489343</v>
      </c>
      <c r="N35" s="123"/>
      <c r="O35" s="13">
        <f>[1]!srRng2E($C$13,O$11-$G35)</f>
        <v>24.256944055552445</v>
      </c>
      <c r="P35" s="314">
        <f>[2]!e5adE_ICs(O35,$C$14,$C$15,$C$21,$C$25,$C$24,$C$33,$C$34)*$C$7</f>
        <v>5.8838064650489343</v>
      </c>
      <c r="Q35" s="123"/>
      <c r="R35" s="13">
        <f>[1]!srRng2E($C$13,R$11-$G35)</f>
        <v>24.548613055571114</v>
      </c>
      <c r="S35" s="314">
        <f>[2]!e5adE_ICs(R35,$C$14,$C$15,$C$21,$C$25,$C$24,$C$33,$C$34)*$C$7</f>
        <v>5.6390757133033134</v>
      </c>
      <c r="T35" s="123"/>
      <c r="U35" s="13">
        <f>[1]!srRng2E($C$13,U$11-$G35)</f>
        <v>24.840282055589778</v>
      </c>
      <c r="V35" s="314">
        <f>[2]!e5adE_ICs(U35,$C$14,$C$15,$C$21,$C$25,$C$24,$C$33,$C$34)*$C$7</f>
        <v>5.6390757133033134</v>
      </c>
      <c r="W35" s="9"/>
    </row>
    <row r="36" spans="2:23">
      <c r="G36" s="46">
        <f t="shared" si="3"/>
        <v>716</v>
      </c>
      <c r="H36" s="46"/>
      <c r="I36" s="13">
        <f>[1]!srRng2E($C$13,I$11-$G36)</f>
        <v>22.974969635500795</v>
      </c>
      <c r="J36" s="314">
        <f>[2]!e5adE_ICs(I36,$C$14,$C$15,$C$21,$C$25,$C$24,$C$33,$C$34)*$C$7</f>
        <v>6.1566028270362665</v>
      </c>
      <c r="K36" s="123"/>
      <c r="L36" s="13">
        <f>[1]!srRng2E($C$13,L$11-$G36)</f>
        <v>23.288005709777995</v>
      </c>
      <c r="M36" s="314">
        <f>[2]!e5adE_ICs(L36,$C$14,$C$15,$C$21,$C$25,$C$24,$C$33,$C$34)*$C$7</f>
        <v>6.1566028270362665</v>
      </c>
      <c r="N36" s="123"/>
      <c r="O36" s="13">
        <f>[1]!srRng2E($C$13,O$11-$G36)</f>
        <v>23.601041784055194</v>
      </c>
      <c r="P36" s="314">
        <f>[2]!e5adE_ICs(O36,$C$14,$C$15,$C$21,$C$25,$C$24,$C$33,$C$34)*$C$7</f>
        <v>5.8838064650492328</v>
      </c>
      <c r="Q36" s="123"/>
      <c r="R36" s="13">
        <f>[1]!srRng2E($C$13,R$11-$G36)</f>
        <v>23.906941255530047</v>
      </c>
      <c r="S36" s="314">
        <f>[2]!e5adE_ICs(R36,$C$14,$C$15,$C$21,$C$25,$C$24,$C$33,$C$34)*$C$7</f>
        <v>5.8838064650492328</v>
      </c>
      <c r="T36" s="123"/>
      <c r="U36" s="13">
        <f>[1]!srRng2E($C$13,U$11-$G36)</f>
        <v>24.198610255548711</v>
      </c>
      <c r="V36" s="314">
        <f>[2]!e5adE_ICs(U36,$C$14,$C$15,$C$21,$C$25,$C$24,$C$33,$C$34)*$C$7</f>
        <v>5.8838064650492328</v>
      </c>
      <c r="W36" s="9"/>
    </row>
    <row r="37" spans="2:23">
      <c r="B37" s="355" t="s">
        <v>181</v>
      </c>
      <c r="D37" s="345" t="s">
        <v>177</v>
      </c>
      <c r="G37" s="46">
        <f t="shared" si="3"/>
        <v>727</v>
      </c>
      <c r="H37" s="46"/>
      <c r="I37" s="13">
        <f>[1]!srRng2E($C$13,I$11-$G37)</f>
        <v>22.286290272090955</v>
      </c>
      <c r="J37" s="314">
        <f>[2]!e5adE_ICs(I37,$C$14,$C$15,$C$21,$C$25,$C$24,$C$33,$C$34)*$C$7</f>
        <v>6.4537757331346342</v>
      </c>
      <c r="K37" s="123"/>
      <c r="L37" s="13">
        <f>[1]!srRng2E($C$13,L$11-$G37)</f>
        <v>22.599326346368155</v>
      </c>
      <c r="M37" s="314">
        <f>[2]!e5adE_ICs(L37,$C$14,$C$15,$C$21,$C$25,$C$24,$C$33,$C$34)*$C$7</f>
        <v>6.1566028270359681</v>
      </c>
      <c r="N37" s="123"/>
      <c r="O37" s="13">
        <f>[1]!srRng2E($C$13,O$11-$G37)</f>
        <v>22.912362420645355</v>
      </c>
      <c r="P37" s="314">
        <f>[2]!e5adE_ICs(O37,$C$14,$C$15,$C$21,$C$25,$C$24,$C$33,$C$34)*$C$7</f>
        <v>6.1566028270362665</v>
      </c>
      <c r="Q37" s="123"/>
      <c r="R37" s="13">
        <f>[1]!srRng2E($C$13,R$11-$G37)</f>
        <v>23.225398494922555</v>
      </c>
      <c r="S37" s="314">
        <f>[2]!e5adE_ICs(R37,$C$14,$C$15,$C$21,$C$25,$C$24,$C$33,$C$34)*$C$7</f>
        <v>6.1566028270359681</v>
      </c>
      <c r="T37" s="123"/>
      <c r="U37" s="13">
        <f>[1]!srRng2E($C$13,U$11-$G37)</f>
        <v>23.538434569199755</v>
      </c>
      <c r="V37" s="314">
        <f>[2]!e5adE_ICs(U37,$C$14,$C$15,$C$21,$C$25,$C$24,$C$33,$C$34)*$C$7</f>
        <v>5.8838064650489343</v>
      </c>
      <c r="W37" s="9"/>
    </row>
    <row r="38" spans="2:23">
      <c r="C38" s="111" t="s">
        <v>175</v>
      </c>
      <c r="D38" s="345" t="s">
        <v>173</v>
      </c>
      <c r="G38" s="46">
        <f t="shared" si="3"/>
        <v>738</v>
      </c>
      <c r="H38" s="46"/>
      <c r="I38" s="13">
        <f>[1]!srRng2E($C$13,I$11-$G38)</f>
        <v>21.597610908681116</v>
      </c>
      <c r="J38" s="314">
        <f>[2]!e5adE_ICs(I38,$C$14,$C$15,$C$21,$C$25,$C$24,$C$33,$C$34)*$C$7</f>
        <v>6.4537757331347834</v>
      </c>
      <c r="K38" s="123"/>
      <c r="L38" s="13">
        <f>[1]!srRng2E($C$13,L$11-$G38)</f>
        <v>21.910646982958315</v>
      </c>
      <c r="M38" s="314">
        <f>[2]!e5adE_ICs(L38,$C$14,$C$15,$C$21,$C$25,$C$24,$C$33,$C$34)*$C$7</f>
        <v>6.4537757331347834</v>
      </c>
      <c r="N38" s="123"/>
      <c r="O38" s="13">
        <f>[1]!srRng2E($C$13,O$11-$G38)</f>
        <v>22.223683057235515</v>
      </c>
      <c r="P38" s="314">
        <f>[2]!e5adE_ICs(O38,$C$14,$C$15,$C$21,$C$25,$C$24,$C$33,$C$34)*$C$7</f>
        <v>6.4537757331349326</v>
      </c>
      <c r="Q38" s="123"/>
      <c r="R38" s="13">
        <f>[1]!srRng2E($C$13,R$11-$G38)</f>
        <v>22.536719131512715</v>
      </c>
      <c r="S38" s="314">
        <f>[2]!e5adE_ICs(R38,$C$14,$C$15,$C$21,$C$25,$C$24,$C$33,$C$34)*$C$7</f>
        <v>6.1566028270362665</v>
      </c>
      <c r="T38" s="123"/>
      <c r="U38" s="13">
        <f>[1]!srRng2E($C$13,U$11-$G38)</f>
        <v>22.849755205789915</v>
      </c>
      <c r="V38" s="314">
        <f>[2]!e5adE_ICs(U38,$C$14,$C$15,$C$21,$C$25,$C$24,$C$33,$C$34)*$C$7</f>
        <v>6.1566028270362665</v>
      </c>
      <c r="W38" s="9"/>
    </row>
    <row r="39" spans="2:23">
      <c r="B39" s="356" t="s">
        <v>171</v>
      </c>
      <c r="C39" s="357"/>
      <c r="D39" s="358">
        <v>0</v>
      </c>
      <c r="G39" s="46">
        <f t="shared" si="3"/>
        <v>749</v>
      </c>
      <c r="H39" s="46"/>
      <c r="I39" s="13">
        <f>[1]!srRng2E($C$13,I$11-$G39)</f>
        <v>20.880846795480942</v>
      </c>
      <c r="J39" s="314">
        <f>[2]!e5adE_ICs(I39,$C$14,$C$15,$C$21,$C$25,$C$24,$C$33,$C$34)*$C$7</f>
        <v>6.781092095955465</v>
      </c>
      <c r="K39" s="123"/>
      <c r="L39" s="13">
        <f>[1]!srRng2E($C$13,L$11-$G39)</f>
        <v>21.210801393728222</v>
      </c>
      <c r="M39" s="314">
        <f>[2]!e5adE_ICs(L39,$C$14,$C$15,$C$21,$C$25,$C$24,$C$33,$C$34)*$C$7</f>
        <v>6.781092095955465</v>
      </c>
      <c r="N39" s="123"/>
      <c r="O39" s="13">
        <f>[1]!srRng2E($C$13,O$11-$G39)</f>
        <v>21.535003693825676</v>
      </c>
      <c r="P39" s="314">
        <f>[2]!e5adE_ICs(O39,$C$14,$C$15,$C$21,$C$25,$C$24,$C$33,$C$34)*$C$7</f>
        <v>6.4537757331347834</v>
      </c>
      <c r="Q39" s="123"/>
      <c r="R39" s="13">
        <f>[1]!srRng2E($C$13,R$11-$G39)</f>
        <v>21.848039768102876</v>
      </c>
      <c r="S39" s="314">
        <f>[2]!e5adE_ICs(R39,$C$14,$C$15,$C$21,$C$25,$C$24,$C$33,$C$34)*$C$7</f>
        <v>6.4537757331347834</v>
      </c>
      <c r="T39" s="123"/>
      <c r="U39" s="13">
        <f>[1]!srRng2E($C$13,U$11-$G39)</f>
        <v>22.161075842380075</v>
      </c>
      <c r="V39" s="314">
        <f>[2]!e5adE_ICs(U39,$C$14,$C$15,$C$21,$C$25,$C$24,$C$33,$C$34)*$C$7</f>
        <v>6.4537757331346342</v>
      </c>
      <c r="W39" s="9"/>
    </row>
    <row r="40" spans="2:23">
      <c r="B40" s="359"/>
      <c r="C40" s="45" t="s">
        <v>172</v>
      </c>
      <c r="D40" s="360">
        <f>[1]!srEoldGas($C$14,D39,$C$34,$C$25*100,$C$24)</f>
        <v>2.072137133168335E-2</v>
      </c>
      <c r="G40" s="46">
        <f t="shared" si="3"/>
        <v>760</v>
      </c>
      <c r="H40" s="46"/>
      <c r="I40" s="13">
        <f>[1]!srRng2E($C$13,I$11-$G40)</f>
        <v>20.151838768860046</v>
      </c>
      <c r="J40" s="314">
        <f>[2]!e5adE_ICs(I40,$C$14,$C$15,$C$21,$C$25,$C$24,$C$33,$C$34)*$C$7</f>
        <v>7.1302472608815037</v>
      </c>
      <c r="K40" s="123"/>
      <c r="L40" s="13">
        <f>[1]!srRng2E($C$13,L$11-$G40)</f>
        <v>20.484901277584203</v>
      </c>
      <c r="M40" s="314">
        <f>[2]!e5adE_ICs(L40,$C$14,$C$15,$C$21,$C$25,$C$24,$C$33,$C$34)*$C$7</f>
        <v>7.1302472608815037</v>
      </c>
      <c r="N40" s="123"/>
      <c r="O40" s="13">
        <f>[1]!srRng2E($C$13,O$11-$G40)</f>
        <v>20.814855875831483</v>
      </c>
      <c r="P40" s="314">
        <f>[2]!e5adE_ICs(O40,$C$14,$C$15,$C$21,$C$25,$C$24,$C$33,$C$34)*$C$7</f>
        <v>6.781092095955465</v>
      </c>
      <c r="Q40" s="123"/>
      <c r="R40" s="13">
        <f>[1]!srRng2E($C$13,R$11-$G40)</f>
        <v>21.144810474078763</v>
      </c>
      <c r="S40" s="314">
        <f>[2]!e5adE_ICs(R40,$C$14,$C$15,$C$21,$C$25,$C$24,$C$33,$C$34)*$C$7</f>
        <v>6.781092095955465</v>
      </c>
      <c r="T40" s="123"/>
      <c r="U40" s="13">
        <f>[1]!srRng2E($C$13,U$11-$G40)</f>
        <v>21.472396478970236</v>
      </c>
      <c r="V40" s="314">
        <f>[2]!e5adE_ICs(U40,$C$14,$C$15,$C$21,$C$25,$C$24,$C$33,$C$34)*$C$7</f>
        <v>6.6077100522104857</v>
      </c>
      <c r="W40" s="9"/>
    </row>
    <row r="41" spans="2:23" ht="12.75" customHeight="1">
      <c r="B41" s="359"/>
      <c r="C41" s="45" t="s">
        <v>174</v>
      </c>
      <c r="D41" s="360">
        <f>[1]!srEold($C$15,D40,$C$33)</f>
        <v>0.10518223442186762</v>
      </c>
      <c r="G41" s="46">
        <f t="shared" si="3"/>
        <v>771</v>
      </c>
      <c r="H41" s="46"/>
      <c r="I41" s="13">
        <f>[1]!srRng2E($C$13,I$11-$G41)</f>
        <v>19.398806100933761</v>
      </c>
      <c r="J41" s="314">
        <f>[2]!e5adE_ICs(I41,$C$14,$C$15,$C$21,$C$25,$C$24,$C$33,$C$34)*$C$7</f>
        <v>7.508575639944489</v>
      </c>
      <c r="K41" s="123"/>
      <c r="L41" s="13">
        <f>[1]!srRng2E($C$13,L$11-$G41)</f>
        <v>19.741093677263891</v>
      </c>
      <c r="M41" s="314">
        <f>[2]!e5adE_ICs(L41,$C$14,$C$15,$C$21,$C$25,$C$24,$C$33,$C$34)*$C$7</f>
        <v>7.1302472608816529</v>
      </c>
      <c r="N41" s="123"/>
      <c r="O41" s="13">
        <f>[1]!srRng2E($C$13,O$11-$G41)</f>
        <v>20.08338125359402</v>
      </c>
      <c r="P41" s="314">
        <f>[2]!e5adE_ICs(O41,$C$14,$C$15,$C$21,$C$25,$C$24,$C$33,$C$34)*$C$7</f>
        <v>7.1302472608815037</v>
      </c>
      <c r="Q41" s="123"/>
      <c r="R41" s="13">
        <f>[1]!srRng2E($C$13,R$11-$G41)</f>
        <v>20.418910357934749</v>
      </c>
      <c r="S41" s="314">
        <f>[2]!e5adE_ICs(R41,$C$14,$C$15,$C$21,$C$25,$C$24,$C$33,$C$34)*$C$7</f>
        <v>7.1302472608815037</v>
      </c>
      <c r="T41" s="123"/>
      <c r="U41" s="13">
        <f>[1]!srRng2E($C$13,U$11-$G41)</f>
        <v>20.748864956182029</v>
      </c>
      <c r="V41" s="314">
        <f>[2]!e5adE_ICs(U41,$C$14,$C$15,$C$21,$C$25,$C$24,$C$33,$C$34)*$C$7</f>
        <v>6.781092095955465</v>
      </c>
      <c r="W41" s="9"/>
    </row>
    <row r="42" spans="2:23">
      <c r="B42" s="361" t="s">
        <v>176</v>
      </c>
      <c r="C42" s="362" t="s">
        <v>172</v>
      </c>
      <c r="D42" s="363">
        <f>[1]!srEoldGas($C$14,D41,$C$21,$C$25*100,$C$24)</f>
        <v>9.7155768991571403</v>
      </c>
      <c r="G42" s="46">
        <f t="shared" si="3"/>
        <v>782</v>
      </c>
      <c r="H42" s="46"/>
      <c r="I42" s="13">
        <f>[1]!srRng2E($C$13,I$11-$G42)</f>
        <v>18.629670767828664</v>
      </c>
      <c r="J42" s="314">
        <f>[2]!e5adE_ICs(I42,$C$14,$C$15,$C$21,$C$25,$C$24,$C$33,$C$34)*$C$7</f>
        <v>7.9098907802272436</v>
      </c>
      <c r="K42" s="123"/>
      <c r="L42" s="13">
        <f>[1]!srRng2E($C$13,L$11-$G42)</f>
        <v>18.985674413305993</v>
      </c>
      <c r="M42" s="314">
        <f>[2]!e5adE_ICs(L42,$C$14,$C$15,$C$21,$C$25,$C$24,$C$33,$C$34)*$C$7</f>
        <v>7.508575639944489</v>
      </c>
      <c r="N42" s="123"/>
      <c r="O42" s="13">
        <f>[1]!srRng2E($C$13,O$11-$G42)</f>
        <v>19.330348585667736</v>
      </c>
      <c r="P42" s="314">
        <f>[2]!e5adE_ICs(O42,$C$14,$C$15,$C$21,$C$25,$C$24,$C$33,$C$34)*$C$7</f>
        <v>7.508575639944489</v>
      </c>
      <c r="Q42" s="123"/>
      <c r="R42" s="13">
        <f>[1]!srRng2E($C$13,R$11-$G42)</f>
        <v>19.672636161997865</v>
      </c>
      <c r="S42" s="314">
        <f>[2]!e5adE_ICs(R42,$C$14,$C$15,$C$21,$C$25,$C$24,$C$33,$C$34)*$C$7</f>
        <v>7.1302472608815037</v>
      </c>
      <c r="T42" s="123"/>
      <c r="U42" s="13">
        <f>[1]!srRng2E($C$13,U$11-$G42)</f>
        <v>20.014923738327994</v>
      </c>
      <c r="V42" s="314">
        <f>[2]!e5adE_ICs(U42,$C$14,$C$15,$C$21,$C$25,$C$24,$C$33,$C$34)*$C$7</f>
        <v>7.1302472608815037</v>
      </c>
      <c r="W42" s="9"/>
    </row>
    <row r="43" spans="2:23">
      <c r="B43" s="300"/>
      <c r="C43" s="111" t="s">
        <v>179</v>
      </c>
      <c r="D43" s="345" t="s">
        <v>178</v>
      </c>
      <c r="G43" s="46">
        <f t="shared" si="3"/>
        <v>793</v>
      </c>
      <c r="H43" s="46"/>
      <c r="I43" s="13">
        <f>[1]!srRng2E($C$13,I$11-$G43)</f>
        <v>17.846016911437474</v>
      </c>
      <c r="J43" s="314">
        <f>[2]!e5adE_ICs(I43,$C$14,$C$15,$C$21,$C$25,$C$24,$C$33,$C$34)*$C$7</f>
        <v>7.9098907802272436</v>
      </c>
      <c r="K43" s="123"/>
      <c r="L43" s="13">
        <f>[1]!srRng2E($C$13,L$11-$G43)</f>
        <v>18.202466393255868</v>
      </c>
      <c r="M43" s="314">
        <f>[2]!e5adE_ICs(L43,$C$14,$C$15,$C$21,$C$25,$C$24,$C$33,$C$34)*$C$7</f>
        <v>7.9098907802270944</v>
      </c>
      <c r="N43" s="123"/>
      <c r="O43" s="13">
        <f>[1]!srRng2E($C$13,O$11-$G43)</f>
        <v>18.558470038733198</v>
      </c>
      <c r="P43" s="314">
        <f>[2]!e5adE_ICs(O43,$C$14,$C$15,$C$21,$C$25,$C$24,$C$33,$C$34)*$C$7</f>
        <v>7.9098907802272436</v>
      </c>
      <c r="Q43" s="123"/>
      <c r="R43" s="13">
        <f>[1]!srRng2E($C$13,R$11-$G43)</f>
        <v>18.914473684210527</v>
      </c>
      <c r="S43" s="314">
        <f>[2]!e5adE_ICs(R43,$C$14,$C$15,$C$21,$C$25,$C$24,$C$33,$C$34)*$C$7</f>
        <v>7.508575639944489</v>
      </c>
      <c r="T43" s="123"/>
      <c r="U43" s="13">
        <f>[1]!srRng2E($C$13,U$11-$G43)</f>
        <v>19.26189107040171</v>
      </c>
      <c r="V43" s="314">
        <f>[2]!e5adE_ICs(U43,$C$14,$C$15,$C$21,$C$25,$C$24,$C$33,$C$34)*$C$7</f>
        <v>7.5085756399446382</v>
      </c>
      <c r="W43" s="9"/>
    </row>
    <row r="44" spans="2:23">
      <c r="B44" s="364"/>
      <c r="C44" s="365" t="s">
        <v>180</v>
      </c>
      <c r="D44" s="366">
        <f>[1]!srE2Rng($C$13,D42)</f>
        <v>88.432010370656542</v>
      </c>
      <c r="G44" s="46">
        <f t="shared" si="3"/>
        <v>804</v>
      </c>
      <c r="H44" s="46"/>
      <c r="I44" s="13">
        <f>[1]!srRng2E($C$13,I$11-$G44)</f>
        <v>17.030114226375911</v>
      </c>
      <c r="J44" s="314">
        <f>[2]!e5adE_ICs(I44,$C$14,$C$15,$C$21,$C$25,$C$24,$C$33,$C$34)*$C$7</f>
        <v>8.3278102673268535</v>
      </c>
      <c r="K44" s="123"/>
      <c r="L44" s="13">
        <f>[1]!srRng2E($C$13,L$11-$G44)</f>
        <v>17.400979083222076</v>
      </c>
      <c r="M44" s="314">
        <f>[2]!e5adE_ICs(L44,$C$14,$C$15,$C$21,$C$25,$C$24,$C$33,$C$34)*$C$7</f>
        <v>8.3278102673268535</v>
      </c>
      <c r="N44" s="123"/>
      <c r="O44" s="13">
        <f>[1]!srRng2E($C$13,O$11-$G44)</f>
        <v>17.771843940068241</v>
      </c>
      <c r="P44" s="314">
        <f>[2]!e5adE_ICs(O44,$C$14,$C$15,$C$21,$C$25,$C$24,$C$33,$C$34)*$C$7</f>
        <v>8.2351011492746977</v>
      </c>
      <c r="Q44" s="123"/>
      <c r="R44" s="13">
        <f>[1]!srRng2E($C$13,R$11-$G44)</f>
        <v>18.131265664160402</v>
      </c>
      <c r="S44" s="314">
        <f>[2]!e5adE_ICs(R44,$C$14,$C$15,$C$21,$C$25,$C$24,$C$33,$C$34)*$C$7</f>
        <v>7.9098907802272436</v>
      </c>
      <c r="T44" s="123"/>
      <c r="U44" s="13">
        <f>[1]!srRng2E($C$13,U$11-$G44)</f>
        <v>18.487269309637732</v>
      </c>
      <c r="V44" s="314">
        <f>[2]!e5adE_ICs(U44,$C$14,$C$15,$C$21,$C$25,$C$24,$C$33,$C$34)*$C$7</f>
        <v>7.9098907802272436</v>
      </c>
      <c r="W44" s="9"/>
    </row>
    <row r="45" spans="2:23">
      <c r="B45" s="367"/>
      <c r="C45" s="368" t="s">
        <v>208</v>
      </c>
      <c r="D45" s="369">
        <f>$C$29-D44</f>
        <v>899.5679896293434</v>
      </c>
      <c r="G45" s="46">
        <f t="shared" si="3"/>
        <v>815</v>
      </c>
      <c r="H45" s="46"/>
      <c r="I45" s="13">
        <f>[1]!srRng2E($C$13,I$11-$G45)</f>
        <v>16.194808007673505</v>
      </c>
      <c r="J45" s="314">
        <f>[2]!e5adE_ICs(I45,$C$14,$C$15,$C$21,$C$25,$C$24,$C$33,$C$34)*$C$7</f>
        <v>8.7605704032250742</v>
      </c>
      <c r="K45" s="123"/>
      <c r="L45" s="13">
        <f>[1]!srRng2E($C$13,L$11-$G45)</f>
        <v>16.58157740029085</v>
      </c>
      <c r="M45" s="314">
        <f>[2]!e5adE_ICs(L45,$C$14,$C$15,$C$21,$C$25,$C$24,$C$33,$C$34)*$C$7</f>
        <v>8.760570403224925</v>
      </c>
      <c r="N45" s="123"/>
      <c r="O45" s="13">
        <f>[1]!srRng2E($C$13,O$11-$G45)</f>
        <v>16.955941255006678</v>
      </c>
      <c r="P45" s="314">
        <f>[2]!e5adE_ICs(O45,$C$14,$C$15,$C$21,$C$25,$C$24,$C$33,$C$34)*$C$7</f>
        <v>8.3278102673268535</v>
      </c>
      <c r="Q45" s="123"/>
      <c r="R45" s="13">
        <f>[1]!srRng2E($C$13,R$11-$G45)</f>
        <v>17.326806111852843</v>
      </c>
      <c r="S45" s="314">
        <f>[2]!e5adE_ICs(R45,$C$14,$C$15,$C$21,$C$25,$C$24,$C$33,$C$34)*$C$7</f>
        <v>8.3278102673268535</v>
      </c>
      <c r="T45" s="123"/>
      <c r="U45" s="13">
        <f>[1]!srRng2E($C$13,U$11-$G45)</f>
        <v>17.697670968699008</v>
      </c>
      <c r="V45" s="314">
        <f>[2]!e5adE_ICs(U45,$C$14,$C$15,$C$21,$C$25,$C$24,$C$33,$C$34)*$C$7</f>
        <v>8.3278102673268535</v>
      </c>
      <c r="W45" s="9"/>
    </row>
    <row r="46" spans="2:23">
      <c r="B46" s="9"/>
      <c r="C46" s="9"/>
      <c r="D46" s="9"/>
      <c r="G46" s="46">
        <f t="shared" si="3"/>
        <v>826</v>
      </c>
      <c r="H46" s="46"/>
      <c r="I46" s="13">
        <f>[1]!srRng2E($C$13,I$11-$G46)</f>
        <v>15.337988555911162</v>
      </c>
      <c r="J46" s="314">
        <f>[2]!e5adE_ICs(I46,$C$14,$C$15,$C$21,$C$25,$C$24,$C$33,$C$34)*$C$7</f>
        <v>9.3028513926760468</v>
      </c>
      <c r="K46" s="123"/>
      <c r="L46" s="13">
        <f>[1]!srRng2E($C$13,L$11-$G46)</f>
        <v>15.730684736532689</v>
      </c>
      <c r="M46" s="314">
        <f>[2]!e5adE_ICs(L46,$C$14,$C$15,$C$21,$C$25,$C$24,$C$33,$C$34)*$C$7</f>
        <v>9.0934063331786312</v>
      </c>
      <c r="N46" s="123"/>
      <c r="O46" s="13">
        <f>[1]!srRng2E($C$13,O$11-$G46)</f>
        <v>16.117454129150037</v>
      </c>
      <c r="P46" s="314">
        <f>[2]!e5adE_ICs(O46,$C$14,$C$15,$C$21,$C$25,$C$24,$C$33,$C$34)*$C$7</f>
        <v>8.7605704032250742</v>
      </c>
      <c r="Q46" s="123"/>
      <c r="R46" s="13">
        <f>[1]!srRng2E($C$13,R$11-$G46)</f>
        <v>16.504223521767383</v>
      </c>
      <c r="S46" s="314">
        <f>[2]!e5adE_ICs(R46,$C$14,$C$15,$C$21,$C$25,$C$24,$C$33,$C$34)*$C$7</f>
        <v>8.760570403224925</v>
      </c>
      <c r="T46" s="123"/>
      <c r="U46" s="13">
        <f>[1]!srRng2E($C$13,U$11-$G46)</f>
        <v>16.881768283637445</v>
      </c>
      <c r="V46" s="314">
        <f>[2]!e5adE_ICs(U46,$C$14,$C$15,$C$21,$C$25,$C$24,$C$33,$C$34)*$C$7</f>
        <v>8.7227554933352422</v>
      </c>
      <c r="W46" s="9"/>
    </row>
    <row r="47" spans="2:23">
      <c r="B47" s="9"/>
      <c r="C47" s="55"/>
      <c r="D47" s="9"/>
      <c r="E47" s="51"/>
      <c r="F47" s="320"/>
      <c r="G47" s="46">
        <f t="shared" si="3"/>
        <v>837</v>
      </c>
      <c r="H47" s="46"/>
      <c r="I47" s="13">
        <f>[1]!srRng2E($C$13,I$11-$G47)</f>
        <v>14.448970355284002</v>
      </c>
      <c r="J47" s="314">
        <f>[2]!e5adE_ICs(I47,$C$14,$C$15,$C$21,$C$25,$C$24,$C$33,$C$34)*$C$7</f>
        <v>9.7227393692762121</v>
      </c>
      <c r="K47" s="123"/>
      <c r="L47" s="13">
        <f>[1]!srRng2E($C$13,L$11-$G47)</f>
        <v>14.853069537387256</v>
      </c>
      <c r="M47" s="314">
        <f>[2]!e5adE_ICs(L47,$C$14,$C$15,$C$21,$C$25,$C$24,$C$33,$C$34)*$C$7</f>
        <v>9.5221720541929393</v>
      </c>
      <c r="N47" s="123"/>
      <c r="O47" s="13">
        <f>[1]!srRng2E($C$13,O$11-$G47)</f>
        <v>15.257168719490512</v>
      </c>
      <c r="P47" s="314">
        <f>[2]!e5adE_ICs(O47,$C$14,$C$15,$C$21,$C$25,$C$24,$C$33,$C$34)*$C$7</f>
        <v>9.3028513926760468</v>
      </c>
      <c r="Q47" s="123"/>
      <c r="R47" s="13">
        <f>[1]!srRng2E($C$13,R$11-$G47)</f>
        <v>15.65333085800922</v>
      </c>
      <c r="S47" s="314">
        <f>[2]!e5adE_ICs(R47,$C$14,$C$15,$C$21,$C$25,$C$24,$C$33,$C$34)*$C$7</f>
        <v>9.1203302319539077</v>
      </c>
      <c r="T47" s="123"/>
      <c r="U47" s="13">
        <f>[1]!srRng2E($C$13,U$11-$G47)</f>
        <v>16.040100250626566</v>
      </c>
      <c r="V47" s="314">
        <f>[2]!e5adE_ICs(U47,$C$14,$C$15,$C$21,$C$25,$C$24,$C$33,$C$34)*$C$7</f>
        <v>8.9562758532819871</v>
      </c>
      <c r="W47" s="9"/>
    </row>
    <row r="48" spans="2:23">
      <c r="B48" s="9"/>
      <c r="C48" s="164"/>
      <c r="D48" s="9"/>
      <c r="E48" s="51"/>
      <c r="F48" s="320"/>
      <c r="G48" s="46">
        <f t="shared" si="3"/>
        <v>848</v>
      </c>
      <c r="H48" s="46"/>
      <c r="I48" s="13">
        <f>[1]!srRng2E($C$13,I$11-$G48)</f>
        <v>13.526447510822511</v>
      </c>
      <c r="J48" s="314">
        <f>[2]!e5adE_ICs(I48,$C$14,$C$15,$C$21,$C$25,$C$24,$C$33,$C$34)*$C$7</f>
        <v>10.173510331132782</v>
      </c>
      <c r="K48" s="123"/>
      <c r="L48" s="13">
        <f>[1]!srRng2E($C$13,L$11-$G48)</f>
        <v>13.949201839826841</v>
      </c>
      <c r="M48" s="314">
        <f>[2]!e5adE_ICs(L48,$C$14,$C$15,$C$21,$C$25,$C$24,$C$33,$C$34)*$C$7</f>
        <v>9.9955609179126199</v>
      </c>
      <c r="N48" s="123"/>
      <c r="O48" s="13">
        <f>[1]!srRng2E($C$13,O$11-$G48)</f>
        <v>14.36815051886335</v>
      </c>
      <c r="P48" s="314">
        <f>[2]!e5adE_ICs(O48,$C$14,$C$15,$C$21,$C$25,$C$24,$C$33,$C$34)*$C$7</f>
        <v>9.8059189971377094</v>
      </c>
      <c r="Q48" s="123"/>
      <c r="R48" s="13">
        <f>[1]!srRng2E($C$13,R$11-$G48)</f>
        <v>14.772249700966606</v>
      </c>
      <c r="S48" s="314">
        <f>[2]!e5adE_ICs(R48,$C$14,$C$15,$C$21,$C$25,$C$24,$C$33,$C$34)*$C$7</f>
        <v>9.6305711591397944</v>
      </c>
      <c r="T48" s="123"/>
      <c r="U48" s="13">
        <f>[1]!srRng2E($C$13,U$11-$G48)</f>
        <v>15.17634888306986</v>
      </c>
      <c r="V48" s="314">
        <f>[2]!e5adE_ICs(U48,$C$14,$C$15,$C$21,$C$25,$C$24,$C$33,$C$34)*$C$7</f>
        <v>9.4738153005076633</v>
      </c>
      <c r="W48" s="9"/>
    </row>
    <row r="49" spans="2:23">
      <c r="B49" s="288"/>
      <c r="C49" s="9"/>
      <c r="D49" s="9"/>
      <c r="E49" s="9"/>
      <c r="F49" s="318"/>
      <c r="G49" s="46">
        <f t="shared" si="3"/>
        <v>859</v>
      </c>
      <c r="H49" s="46"/>
      <c r="I49" s="13">
        <f>[1]!srRng2E($C$13,I$11-$G49)</f>
        <v>12.572633219954648</v>
      </c>
      <c r="J49" s="314">
        <f>[2]!e5adE_ICs(I49,$C$14,$C$15,$C$21,$C$25,$C$24,$C$33,$C$34)*$C$7</f>
        <v>10.605657714626256</v>
      </c>
      <c r="K49" s="123"/>
      <c r="L49" s="13">
        <f>[1]!srRng2E($C$13,L$11-$G49)</f>
        <v>13.015518707482993</v>
      </c>
      <c r="M49" s="314">
        <f>[2]!e5adE_ICs(L49,$C$14,$C$15,$C$21,$C$25,$C$24,$C$33,$C$34)*$C$7</f>
        <v>10.445658568069483</v>
      </c>
      <c r="N49" s="123"/>
      <c r="O49" s="13">
        <f>[1]!srRng2E($C$13,O$11-$G49)</f>
        <v>13.441896645021645</v>
      </c>
      <c r="P49" s="314">
        <f>[2]!e5adE_ICs(O49,$C$14,$C$15,$C$21,$C$25,$C$24,$C$33,$C$34)*$C$7</f>
        <v>10.246903965294329</v>
      </c>
      <c r="Q49" s="123"/>
      <c r="R49" s="13">
        <f>[1]!srRng2E($C$13,R$11-$G49)</f>
        <v>13.864650974025976</v>
      </c>
      <c r="S49" s="314">
        <f>[2]!e5adE_ICs(R49,$C$14,$C$15,$C$21,$C$25,$C$24,$C$33,$C$34)*$C$7</f>
        <v>10.118550262180015</v>
      </c>
      <c r="T49" s="123"/>
      <c r="U49" s="13">
        <f>[1]!srRng2E($C$13,U$11-$G49)</f>
        <v>14.2873306824427</v>
      </c>
      <c r="V49" s="314">
        <f>[2]!e5adE_ICs(U49,$C$14,$C$15,$C$21,$C$25,$C$24,$C$33,$C$34)*$C$7</f>
        <v>9.9217719049830535</v>
      </c>
      <c r="W49" s="9"/>
    </row>
    <row r="50" spans="2:23">
      <c r="B50" s="5"/>
      <c r="C50" s="289"/>
      <c r="D50" s="5"/>
      <c r="E50" s="5"/>
      <c r="F50" s="166"/>
      <c r="G50" s="46">
        <f t="shared" si="3"/>
        <v>870</v>
      </c>
      <c r="H50" s="46"/>
      <c r="I50" s="13">
        <f>[1]!srRng2E($C$13,I$11-$G50)</f>
        <v>11.58321251998067</v>
      </c>
      <c r="J50" s="314">
        <f>[2]!e5adE_ICs(I50,$C$14,$C$15,$C$21,$C$25,$C$24,$C$33,$C$34)*$C$7</f>
        <v>11.05741398078932</v>
      </c>
      <c r="K50" s="123"/>
      <c r="L50" s="13">
        <f>[1]!srRng2E($C$13,L$11-$G50)</f>
        <v>12.041170634920636</v>
      </c>
      <c r="M50" s="314">
        <f>[2]!e5adE_ICs(L50,$C$14,$C$15,$C$21,$C$25,$C$24,$C$33,$C$34)*$C$7</f>
        <v>10.860289893285524</v>
      </c>
      <c r="N50" s="123"/>
      <c r="O50" s="13">
        <f>[1]!srRng2E($C$13,O$11-$G50)</f>
        <v>12.48405612244898</v>
      </c>
      <c r="P50" s="314">
        <f>[2]!e5adE_ICs(O50,$C$14,$C$15,$C$21,$C$25,$C$24,$C$33,$C$34)*$C$7</f>
        <v>10.64461881302439</v>
      </c>
      <c r="Q50" s="123"/>
      <c r="R50" s="13">
        <f>[1]!srRng2E($C$13,R$11-$G50)</f>
        <v>12.926941609977323</v>
      </c>
      <c r="S50" s="314">
        <f>[2]!e5adE_ICs(R50,$C$14,$C$15,$C$21,$C$25,$C$24,$C$33,$C$34)*$C$7</f>
        <v>10.457136755666674</v>
      </c>
      <c r="T50" s="123"/>
      <c r="U50" s="13">
        <f>[1]!srRng2E($C$13,U$11-$G50)</f>
        <v>13.357345779220779</v>
      </c>
      <c r="V50" s="314">
        <f>[2]!e5adE_ICs(U50,$C$14,$C$15,$C$21,$C$25,$C$24,$C$33,$C$34)*$C$7</f>
        <v>10.246903965294329</v>
      </c>
      <c r="W50" s="9"/>
    </row>
    <row r="51" spans="2:23">
      <c r="B51" s="5"/>
      <c r="C51" s="289"/>
      <c r="D51" s="5"/>
      <c r="E51" s="5"/>
      <c r="F51" s="166"/>
      <c r="G51" s="315" t="e">
        <f>NA()</f>
        <v>#N/A</v>
      </c>
      <c r="H51" s="46"/>
      <c r="I51" s="46"/>
      <c r="J51" s="46"/>
      <c r="K51" s="45"/>
      <c r="L51" s="46"/>
      <c r="M51" s="46"/>
      <c r="N51" s="45"/>
      <c r="O51" s="46"/>
      <c r="P51" s="314"/>
      <c r="Q51" s="45"/>
      <c r="R51" s="13"/>
      <c r="S51" s="314"/>
      <c r="T51" s="45"/>
      <c r="U51" s="13"/>
      <c r="V51" s="314"/>
      <c r="W51" s="9"/>
    </row>
    <row r="52" spans="2:23">
      <c r="B52" s="5"/>
      <c r="C52" s="289"/>
      <c r="D52" s="9"/>
      <c r="F52" s="309">
        <v>1</v>
      </c>
      <c r="G52" s="206">
        <f>G50+F52</f>
        <v>871</v>
      </c>
      <c r="H52" s="46"/>
      <c r="I52" s="13">
        <f>[1]!srRng2E($C$13,I$11-$G52)</f>
        <v>11.490279171778001</v>
      </c>
      <c r="J52" s="314">
        <f>[2]!e5adE_ICs(I52,$C$14,$C$15,$C$21,$C$25,$C$24,$C$33,$C$34)*$C$7</f>
        <v>11.078367029906744</v>
      </c>
      <c r="K52" s="123"/>
      <c r="L52" s="13">
        <f>[1]!srRng2E($C$13,L$11-$G52)</f>
        <v>11.952593537414966</v>
      </c>
      <c r="M52" s="314">
        <f>[2]!e5adE_ICs(L52,$C$14,$C$15,$C$21,$C$25,$C$24,$C$33,$C$34)*$C$7</f>
        <v>10.891652978840922</v>
      </c>
      <c r="N52" s="123"/>
      <c r="O52" s="13">
        <f>[1]!srRng2E($C$13,O$11-$G52)</f>
        <v>12.395479024943311</v>
      </c>
      <c r="P52" s="314">
        <f>[2]!e5adE_ICs(O52,$C$14,$C$15,$C$21,$C$25,$C$24,$C$33,$C$34)*$C$7</f>
        <v>10.69930590636687</v>
      </c>
      <c r="Q52" s="123"/>
      <c r="R52" s="13">
        <f>[1]!srRng2E($C$13,R$11-$G52)</f>
        <v>12.838364512471655</v>
      </c>
      <c r="S52" s="314">
        <f>[2]!e5adE_ICs(R52,$C$14,$C$15,$C$21,$C$25,$C$24,$C$33,$C$34)*$C$7</f>
        <v>10.513634654195634</v>
      </c>
      <c r="T52" s="123"/>
      <c r="U52" s="13">
        <f>[1]!srRng2E($C$13,U$11-$G52)</f>
        <v>13.272794913419913</v>
      </c>
      <c r="V52" s="314">
        <f>[2]!e5adE_ICs(U52,$C$14,$C$15,$C$21,$C$25,$C$24,$C$33,$C$34)*$C$7</f>
        <v>10.35512477028923</v>
      </c>
      <c r="W52" s="9"/>
    </row>
    <row r="53" spans="2:23">
      <c r="B53" s="5"/>
      <c r="C53" s="289"/>
      <c r="D53" s="5"/>
      <c r="E53" s="5"/>
      <c r="F53" s="166"/>
      <c r="G53" s="46">
        <f>G52+F$52</f>
        <v>872</v>
      </c>
      <c r="H53" s="46"/>
      <c r="I53" s="13">
        <f>[1]!srRng2E($C$13,I$11-$G53)</f>
        <v>11.397345823575332</v>
      </c>
      <c r="J53" s="314">
        <f>[2]!e5adE_ICs(I53,$C$14,$C$15,$C$21,$C$25,$C$24,$C$33,$C$34)*$C$7</f>
        <v>11.131487072468836</v>
      </c>
      <c r="K53" s="123"/>
      <c r="L53" s="13">
        <f>[1]!srRng2E($C$13,L$11-$G53)</f>
        <v>11.862012564588678</v>
      </c>
      <c r="M53" s="314">
        <f>[2]!e5adE_ICs(L53,$C$14,$C$15,$C$21,$C$25,$C$24,$C$33,$C$34)*$C$7</f>
        <v>10.931921927801636</v>
      </c>
      <c r="N53" s="123"/>
      <c r="O53" s="13">
        <f>[1]!srRng2E($C$13,O$11-$G53)</f>
        <v>12.306901927437641</v>
      </c>
      <c r="P53" s="314">
        <f>[2]!e5adE_ICs(O53,$C$14,$C$15,$C$21,$C$25,$C$24,$C$33,$C$34)*$C$7</f>
        <v>10.70441259258503</v>
      </c>
      <c r="Q53" s="123"/>
      <c r="R53" s="13">
        <f>[1]!srRng2E($C$13,R$11-$G53)</f>
        <v>12.749787414965986</v>
      </c>
      <c r="S53" s="314">
        <f>[2]!e5adE_ICs(R53,$C$14,$C$15,$C$21,$C$25,$C$24,$C$33,$C$34)*$C$7</f>
        <v>10.513634654195634</v>
      </c>
      <c r="T53" s="123"/>
      <c r="U53" s="13">
        <f>[1]!srRng2E($C$13,U$11-$G53)</f>
        <v>13.188244047619047</v>
      </c>
      <c r="V53" s="314">
        <f>[2]!e5adE_ICs(U53,$C$14,$C$15,$C$21,$C$25,$C$24,$C$33,$C$34)*$C$7</f>
        <v>10.356379435009007</v>
      </c>
      <c r="W53" s="9"/>
    </row>
    <row r="54" spans="2:23">
      <c r="B54" s="159"/>
      <c r="C54" s="55"/>
      <c r="D54" s="55"/>
      <c r="E54" s="55"/>
      <c r="F54" s="166"/>
      <c r="G54" s="46">
        <f t="shared" ref="G54:G104" si="4">G53+F$52</f>
        <v>873</v>
      </c>
      <c r="H54" s="46"/>
      <c r="I54" s="13">
        <f>[1]!srRng2E($C$13,I$11-$G54)</f>
        <v>11.304412475372663</v>
      </c>
      <c r="J54" s="314">
        <f>[2]!e5adE_ICs(I54,$C$14,$C$15,$C$21,$C$25,$C$24,$C$33,$C$34)*$C$7</f>
        <v>11.261200237630561</v>
      </c>
      <c r="K54" s="123"/>
      <c r="L54" s="13">
        <f>[1]!srRng2E($C$13,L$11-$G54)</f>
        <v>11.769079216386009</v>
      </c>
      <c r="M54" s="314">
        <f>[2]!e5adE_ICs(L54,$C$14,$C$15,$C$21,$C$25,$C$24,$C$33,$C$34)*$C$7</f>
        <v>10.984216601890552</v>
      </c>
      <c r="N54" s="123"/>
      <c r="O54" s="13">
        <f>[1]!srRng2E($C$13,O$11-$G54)</f>
        <v>12.218324829931973</v>
      </c>
      <c r="P54" s="314">
        <f>[2]!e5adE_ICs(O54,$C$14,$C$15,$C$21,$C$25,$C$24,$C$33,$C$34)*$C$7</f>
        <v>10.770634612409332</v>
      </c>
      <c r="Q54" s="123"/>
      <c r="R54" s="13">
        <f>[1]!srRng2E($C$13,R$11-$G54)</f>
        <v>12.661210317460318</v>
      </c>
      <c r="S54" s="314">
        <f>[2]!e5adE_ICs(R54,$C$14,$C$15,$C$21,$C$25,$C$24,$C$33,$C$34)*$C$7</f>
        <v>10.585667060697908</v>
      </c>
      <c r="T54" s="123"/>
      <c r="U54" s="13">
        <f>[1]!srRng2E($C$13,U$11-$G54)</f>
        <v>13.103693181818182</v>
      </c>
      <c r="V54" s="314">
        <f>[2]!e5adE_ICs(U54,$C$14,$C$15,$C$21,$C$25,$C$24,$C$33,$C$34)*$C$7</f>
        <v>10.407614502126766</v>
      </c>
      <c r="W54" s="9"/>
    </row>
    <row r="55" spans="2:23">
      <c r="B55" s="166"/>
      <c r="C55" s="122"/>
      <c r="D55" s="157"/>
      <c r="E55" s="157"/>
      <c r="F55" s="177"/>
      <c r="G55" s="46">
        <f t="shared" si="4"/>
        <v>874</v>
      </c>
      <c r="H55" s="46"/>
      <c r="I55" s="13">
        <f>[1]!srRng2E($C$13,I$11-$G55)</f>
        <v>11.211479127169993</v>
      </c>
      <c r="J55" s="314">
        <f>[2]!e5adE_ICs(I55,$C$14,$C$15,$C$21,$C$25,$C$24,$C$33,$C$34)*$C$7</f>
        <v>11.271594361823745</v>
      </c>
      <c r="K55" s="123"/>
      <c r="L55" s="13">
        <f>[1]!srRng2E($C$13,L$11-$G55)</f>
        <v>11.676145868183339</v>
      </c>
      <c r="M55" s="314">
        <f>[2]!e5adE_ICs(L55,$C$14,$C$15,$C$21,$C$25,$C$24,$C$33,$C$34)*$C$7</f>
        <v>11.002603236898572</v>
      </c>
      <c r="N55" s="123"/>
      <c r="O55" s="13">
        <f>[1]!srRng2E($C$13,O$11-$G55)</f>
        <v>12.129747732426305</v>
      </c>
      <c r="P55" s="314">
        <f>[2]!e5adE_ICs(O55,$C$14,$C$15,$C$21,$C$25,$C$24,$C$33,$C$34)*$C$7</f>
        <v>10.770634612409332</v>
      </c>
      <c r="Q55" s="123"/>
      <c r="R55" s="13">
        <f>[1]!srRng2E($C$13,R$11-$G55)</f>
        <v>12.572633219954648</v>
      </c>
      <c r="S55" s="314">
        <f>[2]!e5adE_ICs(R55,$C$14,$C$15,$C$21,$C$25,$C$24,$C$33,$C$34)*$C$7</f>
        <v>10.605657714626256</v>
      </c>
      <c r="T55" s="123"/>
      <c r="U55" s="13">
        <f>[1]!srRng2E($C$13,U$11-$G55)</f>
        <v>13.015518707482993</v>
      </c>
      <c r="V55" s="314">
        <f>[2]!e5adE_ICs(U55,$C$14,$C$15,$C$21,$C$25,$C$24,$C$33,$C$34)*$C$7</f>
        <v>10.445658568069483</v>
      </c>
      <c r="W55" s="9"/>
    </row>
    <row r="56" spans="2:23">
      <c r="B56" s="288"/>
      <c r="C56" s="55"/>
      <c r="D56" s="65"/>
      <c r="E56" s="65"/>
      <c r="F56" s="321"/>
      <c r="G56" s="46">
        <f t="shared" si="4"/>
        <v>875</v>
      </c>
      <c r="H56" s="46"/>
      <c r="I56" s="13">
        <f>[1]!srRng2E($C$13,I$11-$G56)</f>
        <v>11.118545778967324</v>
      </c>
      <c r="J56" s="314">
        <f>[2]!e5adE_ICs(I56,$C$14,$C$15,$C$21,$C$25,$C$24,$C$33,$C$34)*$C$7</f>
        <v>11.286586950993106</v>
      </c>
      <c r="K56" s="123"/>
      <c r="L56" s="13">
        <f>[1]!srRng2E($C$13,L$11-$G56)</f>
        <v>11.58321251998067</v>
      </c>
      <c r="M56" s="314">
        <f>[2]!e5adE_ICs(L56,$C$14,$C$15,$C$21,$C$25,$C$24,$C$33,$C$34)*$C$7</f>
        <v>11.05741398078932</v>
      </c>
      <c r="N56" s="123"/>
      <c r="O56" s="13">
        <f>[1]!srRng2E($C$13,O$11-$G56)</f>
        <v>12.041170634920636</v>
      </c>
      <c r="P56" s="314">
        <f>[2]!e5adE_ICs(O56,$C$14,$C$15,$C$21,$C$25,$C$24,$C$33,$C$34)*$C$7</f>
        <v>10.860289893285524</v>
      </c>
      <c r="Q56" s="123"/>
      <c r="R56" s="13">
        <f>[1]!srRng2E($C$13,R$11-$G56)</f>
        <v>12.48405612244898</v>
      </c>
      <c r="S56" s="314">
        <f>[2]!e5adE_ICs(R56,$C$14,$C$15,$C$21,$C$25,$C$24,$C$33,$C$34)*$C$7</f>
        <v>10.64461881302439</v>
      </c>
      <c r="T56" s="123"/>
      <c r="U56" s="13">
        <f>[1]!srRng2E($C$13,U$11-$G56)</f>
        <v>12.926941609977323</v>
      </c>
      <c r="V56" s="314">
        <f>[2]!e5adE_ICs(U56,$C$14,$C$15,$C$21,$C$25,$C$24,$C$33,$C$34)*$C$7</f>
        <v>10.457136755666674</v>
      </c>
      <c r="W56" s="9"/>
    </row>
    <row r="57" spans="2:23" ht="12.75" customHeight="1">
      <c r="B57" s="290"/>
      <c r="C57" s="122"/>
      <c r="D57" s="129"/>
      <c r="E57" s="129"/>
      <c r="F57" s="322"/>
      <c r="G57" s="46">
        <f t="shared" si="4"/>
        <v>876</v>
      </c>
      <c r="H57" s="46"/>
      <c r="I57" s="13">
        <f>[1]!srRng2E($C$13,I$11-$G57)</f>
        <v>11.025612430764655</v>
      </c>
      <c r="J57" s="314">
        <f>[2]!e5adE_ICs(I57,$C$14,$C$15,$C$21,$C$25,$C$24,$C$33,$C$34)*$C$7</f>
        <v>11.337510118325634</v>
      </c>
      <c r="K57" s="123"/>
      <c r="L57" s="13">
        <f>[1]!srRng2E($C$13,L$11-$G57)</f>
        <v>11.490279171778001</v>
      </c>
      <c r="M57" s="314">
        <f>[2]!e5adE_ICs(L57,$C$14,$C$15,$C$21,$C$25,$C$24,$C$33,$C$34)*$C$7</f>
        <v>11.078367029906744</v>
      </c>
      <c r="N57" s="123"/>
      <c r="O57" s="13">
        <f>[1]!srRng2E($C$13,O$11-$G57)</f>
        <v>11.952593537414966</v>
      </c>
      <c r="P57" s="314">
        <f>[2]!e5adE_ICs(O57,$C$14,$C$15,$C$21,$C$25,$C$24,$C$33,$C$34)*$C$7</f>
        <v>10.891652978840922</v>
      </c>
      <c r="Q57" s="123"/>
      <c r="R57" s="13">
        <f>[1]!srRng2E($C$13,R$11-$G57)</f>
        <v>12.395479024943311</v>
      </c>
      <c r="S57" s="314">
        <f>[2]!e5adE_ICs(R57,$C$14,$C$15,$C$21,$C$25,$C$24,$C$33,$C$34)*$C$7</f>
        <v>10.69930590636687</v>
      </c>
      <c r="T57" s="123"/>
      <c r="U57" s="13">
        <f>[1]!srRng2E($C$13,U$11-$G57)</f>
        <v>12.838364512471655</v>
      </c>
      <c r="V57" s="314">
        <f>[2]!e5adE_ICs(U57,$C$14,$C$15,$C$21,$C$25,$C$24,$C$33,$C$34)*$C$7</f>
        <v>10.513634654195634</v>
      </c>
      <c r="W57" s="9"/>
    </row>
    <row r="58" spans="2:23">
      <c r="G58" s="46">
        <f t="shared" si="4"/>
        <v>877</v>
      </c>
      <c r="H58" s="46"/>
      <c r="I58" s="13">
        <f>[1]!srRng2E($C$13,I$11-$G58)</f>
        <v>10.932679082561986</v>
      </c>
      <c r="J58" s="314">
        <f>[2]!e5adE_ICs(I58,$C$14,$C$15,$C$21,$C$25,$C$24,$C$33,$C$34)*$C$7</f>
        <v>11.308890505214187</v>
      </c>
      <c r="K58" s="123"/>
      <c r="L58" s="13">
        <f>[1]!srRng2E($C$13,L$11-$G58)</f>
        <v>11.397345823575332</v>
      </c>
      <c r="M58" s="314">
        <f>[2]!e5adE_ICs(L58,$C$14,$C$15,$C$21,$C$25,$C$24,$C$33,$C$34)*$C$7</f>
        <v>11.131487072468836</v>
      </c>
      <c r="N58" s="123"/>
      <c r="O58" s="13">
        <f>[1]!srRng2E($C$13,O$11-$G58)</f>
        <v>11.862012564588678</v>
      </c>
      <c r="P58" s="314">
        <f>[2]!e5adE_ICs(O58,$C$14,$C$15,$C$21,$C$25,$C$24,$C$33,$C$34)*$C$7</f>
        <v>10.931921927801636</v>
      </c>
      <c r="Q58" s="123"/>
      <c r="R58" s="13">
        <f>[1]!srRng2E($C$13,R$11-$G58)</f>
        <v>12.306901927437641</v>
      </c>
      <c r="S58" s="314">
        <f>[2]!e5adE_ICs(R58,$C$14,$C$15,$C$21,$C$25,$C$24,$C$33,$C$34)*$C$7</f>
        <v>10.70441259258503</v>
      </c>
      <c r="T58" s="123"/>
      <c r="U58" s="13">
        <f>[1]!srRng2E($C$13,U$11-$G58)</f>
        <v>12.749787414965986</v>
      </c>
      <c r="V58" s="314">
        <f>[2]!e5adE_ICs(U58,$C$14,$C$15,$C$21,$C$25,$C$24,$C$33,$C$34)*$C$7</f>
        <v>10.513634654195634</v>
      </c>
      <c r="W58" s="9"/>
    </row>
    <row r="59" spans="2:23">
      <c r="G59" s="46">
        <f t="shared" si="4"/>
        <v>878</v>
      </c>
      <c r="H59" s="46"/>
      <c r="I59" s="13">
        <f>[1]!srRng2E($C$13,I$11-$G59)</f>
        <v>10.839745734359317</v>
      </c>
      <c r="J59" s="314">
        <f>[2]!e5adE_ICs(I59,$C$14,$C$15,$C$21,$C$25,$C$24,$C$33,$C$34)*$C$7</f>
        <v>11.237053930107097</v>
      </c>
      <c r="K59" s="123"/>
      <c r="L59" s="13">
        <f>[1]!srRng2E($C$13,L$11-$G59)</f>
        <v>11.304412475372663</v>
      </c>
      <c r="M59" s="314">
        <f>[2]!e5adE_ICs(L59,$C$14,$C$15,$C$21,$C$25,$C$24,$C$33,$C$34)*$C$7</f>
        <v>11.261200237630561</v>
      </c>
      <c r="N59" s="123"/>
      <c r="O59" s="13">
        <f>[1]!srRng2E($C$13,O$11-$G59)</f>
        <v>11.769079216386009</v>
      </c>
      <c r="P59" s="314">
        <f>[2]!e5adE_ICs(O59,$C$14,$C$15,$C$21,$C$25,$C$24,$C$33,$C$34)*$C$7</f>
        <v>10.984216601890552</v>
      </c>
      <c r="Q59" s="123"/>
      <c r="R59" s="13">
        <f>[1]!srRng2E($C$13,R$11-$G59)</f>
        <v>12.218324829931973</v>
      </c>
      <c r="S59" s="314">
        <f>[2]!e5adE_ICs(R59,$C$14,$C$15,$C$21,$C$25,$C$24,$C$33,$C$34)*$C$7</f>
        <v>10.770634612409332</v>
      </c>
      <c r="T59" s="123"/>
      <c r="U59" s="13">
        <f>[1]!srRng2E($C$13,U$11-$G59)</f>
        <v>12.661210317460318</v>
      </c>
      <c r="V59" s="314">
        <f>[2]!e5adE_ICs(U59,$C$14,$C$15,$C$21,$C$25,$C$24,$C$33,$C$34)*$C$7</f>
        <v>10.585667060697908</v>
      </c>
      <c r="W59" s="9"/>
    </row>
    <row r="60" spans="2:23">
      <c r="G60" s="46">
        <f t="shared" si="4"/>
        <v>879</v>
      </c>
      <c r="H60" s="46"/>
      <c r="I60" s="13">
        <f>[1]!srRng2E($C$13,I$11-$G60)</f>
        <v>10.746812386156646</v>
      </c>
      <c r="J60" s="314">
        <f>[2]!e5adE_ICs(I60,$C$14,$C$15,$C$21,$C$25,$C$24,$C$33,$C$34)*$C$7</f>
        <v>11.144264962779069</v>
      </c>
      <c r="K60" s="123"/>
      <c r="L60" s="13">
        <f>[1]!srRng2E($C$13,L$11-$G60)</f>
        <v>11.211479127169993</v>
      </c>
      <c r="M60" s="314">
        <f>[2]!e5adE_ICs(L60,$C$14,$C$15,$C$21,$C$25,$C$24,$C$33,$C$34)*$C$7</f>
        <v>11.271594361823745</v>
      </c>
      <c r="N60" s="123"/>
      <c r="O60" s="13">
        <f>[1]!srRng2E($C$13,O$11-$G60)</f>
        <v>11.676145868183339</v>
      </c>
      <c r="P60" s="314">
        <f>[2]!e5adE_ICs(O60,$C$14,$C$15,$C$21,$C$25,$C$24,$C$33,$C$34)*$C$7</f>
        <v>11.002603236898572</v>
      </c>
      <c r="Q60" s="123"/>
      <c r="R60" s="13">
        <f>[1]!srRng2E($C$13,R$11-$G60)</f>
        <v>12.129747732426305</v>
      </c>
      <c r="S60" s="314">
        <f>[2]!e5adE_ICs(R60,$C$14,$C$15,$C$21,$C$25,$C$24,$C$33,$C$34)*$C$7</f>
        <v>10.770634612409332</v>
      </c>
      <c r="T60" s="123"/>
      <c r="U60" s="13">
        <f>[1]!srRng2E($C$13,U$11-$G60)</f>
        <v>12.572633219954648</v>
      </c>
      <c r="V60" s="314">
        <f>[2]!e5adE_ICs(U60,$C$14,$C$15,$C$21,$C$25,$C$24,$C$33,$C$34)*$C$7</f>
        <v>10.605657714626256</v>
      </c>
      <c r="W60" s="9"/>
    </row>
    <row r="61" spans="2:23">
      <c r="G61" s="46">
        <f t="shared" si="4"/>
        <v>880</v>
      </c>
      <c r="H61" s="46"/>
      <c r="I61" s="13">
        <f>[1]!srRng2E($C$13,I$11-$G61)</f>
        <v>10.650754554695441</v>
      </c>
      <c r="J61" s="314">
        <f>[2]!e5adE_ICs(I61,$C$14,$C$15,$C$21,$C$25,$C$24,$C$33,$C$34)*$C$7</f>
        <v>10.816496086432547</v>
      </c>
      <c r="K61" s="123"/>
      <c r="L61" s="13">
        <f>[1]!srRng2E($C$13,L$11-$G61)</f>
        <v>11.118545778967324</v>
      </c>
      <c r="M61" s="314">
        <f>[2]!e5adE_ICs(L61,$C$14,$C$15,$C$21,$C$25,$C$24,$C$33,$C$34)*$C$7</f>
        <v>11.286586950993106</v>
      </c>
      <c r="N61" s="123"/>
      <c r="O61" s="13">
        <f>[1]!srRng2E($C$13,O$11-$G61)</f>
        <v>11.58321251998067</v>
      </c>
      <c r="P61" s="314">
        <f>[2]!e5adE_ICs(O61,$C$14,$C$15,$C$21,$C$25,$C$24,$C$33,$C$34)*$C$7</f>
        <v>11.05741398078932</v>
      </c>
      <c r="Q61" s="123"/>
      <c r="R61" s="13">
        <f>[1]!srRng2E($C$13,R$11-$G61)</f>
        <v>12.041170634920636</v>
      </c>
      <c r="S61" s="314">
        <f>[2]!e5adE_ICs(R61,$C$14,$C$15,$C$21,$C$25,$C$24,$C$33,$C$34)*$C$7</f>
        <v>10.860289893285524</v>
      </c>
      <c r="T61" s="123"/>
      <c r="U61" s="13">
        <f>[1]!srRng2E($C$13,U$11-$G61)</f>
        <v>12.48405612244898</v>
      </c>
      <c r="V61" s="314">
        <f>[2]!e5adE_ICs(U61,$C$14,$C$15,$C$21,$C$25,$C$24,$C$33,$C$34)*$C$7</f>
        <v>10.64461881302439</v>
      </c>
      <c r="W61" s="9"/>
    </row>
    <row r="62" spans="2:23">
      <c r="B62" s="9"/>
      <c r="C62" s="9"/>
      <c r="D62" s="9"/>
      <c r="G62" s="46">
        <f t="shared" si="4"/>
        <v>881</v>
      </c>
      <c r="H62" s="46"/>
      <c r="I62" s="13">
        <f>[1]!srRng2E($C$13,I$11-$G62)</f>
        <v>10.553014309171944</v>
      </c>
      <c r="J62" s="314">
        <f>[2]!e5adE_ICs(I62,$C$14,$C$15,$C$21,$C$25,$C$24,$C$33,$C$34)*$C$7</f>
        <v>10.394833698877877</v>
      </c>
      <c r="K62" s="123"/>
      <c r="L62" s="13">
        <f>[1]!srRng2E($C$13,L$11-$G62)</f>
        <v>11.025612430764655</v>
      </c>
      <c r="M62" s="314">
        <f>[2]!e5adE_ICs(L62,$C$14,$C$15,$C$21,$C$25,$C$24,$C$33,$C$34)*$C$7</f>
        <v>11.337510118325634</v>
      </c>
      <c r="N62" s="123"/>
      <c r="O62" s="13">
        <f>[1]!srRng2E($C$13,O$11-$G62)</f>
        <v>11.490279171778001</v>
      </c>
      <c r="P62" s="314">
        <f>[2]!e5adE_ICs(O62,$C$14,$C$15,$C$21,$C$25,$C$24,$C$33,$C$34)*$C$7</f>
        <v>11.078367029906744</v>
      </c>
      <c r="Q62" s="123"/>
      <c r="R62" s="13">
        <f>[1]!srRng2E($C$13,R$11-$G62)</f>
        <v>11.952593537414966</v>
      </c>
      <c r="S62" s="314">
        <f>[2]!e5adE_ICs(R62,$C$14,$C$15,$C$21,$C$25,$C$24,$C$33,$C$34)*$C$7</f>
        <v>10.891652978840922</v>
      </c>
      <c r="T62" s="123"/>
      <c r="U62" s="13">
        <f>[1]!srRng2E($C$13,U$11-$G62)</f>
        <v>12.395479024943311</v>
      </c>
      <c r="V62" s="314">
        <f>[2]!e5adE_ICs(U62,$C$14,$C$15,$C$21,$C$25,$C$24,$C$33,$C$34)*$C$7</f>
        <v>10.69930590636687</v>
      </c>
      <c r="W62" s="9"/>
    </row>
    <row r="63" spans="2:23">
      <c r="B63" s="9"/>
      <c r="C63" s="55"/>
      <c r="D63" s="9"/>
      <c r="E63" s="51"/>
      <c r="F63" s="320"/>
      <c r="G63" s="46">
        <f t="shared" si="4"/>
        <v>882</v>
      </c>
      <c r="H63" s="46"/>
      <c r="I63" s="13">
        <f>[1]!srRng2E($C$13,I$11-$G63)</f>
        <v>10.455274063648448</v>
      </c>
      <c r="J63" s="314">
        <f>[2]!e5adE_ICs(I63,$C$14,$C$15,$C$21,$C$25,$C$24,$C$33,$C$34)*$C$7</f>
        <v>9.7189741327521517</v>
      </c>
      <c r="K63" s="123"/>
      <c r="L63" s="13">
        <f>[1]!srRng2E($C$13,L$11-$G63)</f>
        <v>10.932679082561986</v>
      </c>
      <c r="M63" s="314">
        <f>[2]!e5adE_ICs(L63,$C$14,$C$15,$C$21,$C$25,$C$24,$C$33,$C$34)*$C$7</f>
        <v>11.308890505214187</v>
      </c>
      <c r="N63" s="123"/>
      <c r="O63" s="13">
        <f>[1]!srRng2E($C$13,O$11-$G63)</f>
        <v>11.397345823575332</v>
      </c>
      <c r="P63" s="314">
        <f>[2]!e5adE_ICs(O63,$C$14,$C$15,$C$21,$C$25,$C$24,$C$33,$C$34)*$C$7</f>
        <v>11.131487072468836</v>
      </c>
      <c r="Q63" s="123"/>
      <c r="R63" s="13">
        <f>[1]!srRng2E($C$13,R$11-$G63)</f>
        <v>11.862012564588678</v>
      </c>
      <c r="S63" s="314">
        <f>[2]!e5adE_ICs(R63,$C$14,$C$15,$C$21,$C$25,$C$24,$C$33,$C$34)*$C$7</f>
        <v>10.931921927801636</v>
      </c>
      <c r="T63" s="123"/>
      <c r="U63" s="13">
        <f>[1]!srRng2E($C$13,U$11-$G63)</f>
        <v>12.306901927437641</v>
      </c>
      <c r="V63" s="314">
        <f>[2]!e5adE_ICs(U63,$C$14,$C$15,$C$21,$C$25,$C$24,$C$33,$C$34)*$C$7</f>
        <v>10.70441259258503</v>
      </c>
      <c r="W63" s="9"/>
    </row>
    <row r="64" spans="2:23">
      <c r="B64" s="9"/>
      <c r="C64" s="164"/>
      <c r="D64" s="9"/>
      <c r="E64" s="51"/>
      <c r="F64" s="320"/>
      <c r="G64" s="46">
        <f t="shared" si="4"/>
        <v>883</v>
      </c>
      <c r="H64" s="46"/>
      <c r="I64" s="13">
        <f>[1]!srRng2E($C$13,I$11-$G64)</f>
        <v>10.357533818124951</v>
      </c>
      <c r="J64" s="314">
        <f>[2]!e5adE_ICs(I64,$C$14,$C$15,$C$21,$C$25,$C$24,$C$33,$C$34)*$C$7</f>
        <v>8.6389052900458765</v>
      </c>
      <c r="K64" s="123"/>
      <c r="L64" s="13">
        <f>[1]!srRng2E($C$13,L$11-$G64)</f>
        <v>10.839745734359317</v>
      </c>
      <c r="M64" s="314">
        <f>[2]!e5adE_ICs(L64,$C$14,$C$15,$C$21,$C$25,$C$24,$C$33,$C$34)*$C$7</f>
        <v>11.237053930107097</v>
      </c>
      <c r="N64" s="123"/>
      <c r="O64" s="13">
        <f>[1]!srRng2E($C$13,O$11-$G64)</f>
        <v>11.304412475372663</v>
      </c>
      <c r="P64" s="314">
        <f>[2]!e5adE_ICs(O64,$C$14,$C$15,$C$21,$C$25,$C$24,$C$33,$C$34)*$C$7</f>
        <v>11.261200237630561</v>
      </c>
      <c r="Q64" s="123"/>
      <c r="R64" s="13">
        <f>[1]!srRng2E($C$13,R$11-$G64)</f>
        <v>11.769079216386009</v>
      </c>
      <c r="S64" s="314">
        <f>[2]!e5adE_ICs(R64,$C$14,$C$15,$C$21,$C$25,$C$24,$C$33,$C$34)*$C$7</f>
        <v>10.984216601890552</v>
      </c>
      <c r="T64" s="123"/>
      <c r="U64" s="13">
        <f>[1]!srRng2E($C$13,U$11-$G64)</f>
        <v>12.218324829931973</v>
      </c>
      <c r="V64" s="314">
        <f>[2]!e5adE_ICs(U64,$C$14,$C$15,$C$21,$C$25,$C$24,$C$33,$C$34)*$C$7</f>
        <v>10.770634612409332</v>
      </c>
      <c r="W64" s="9"/>
    </row>
    <row r="65" spans="2:23">
      <c r="B65" s="288"/>
      <c r="C65" s="9"/>
      <c r="D65" s="9"/>
      <c r="E65" s="9"/>
      <c r="F65" s="318"/>
      <c r="G65" s="46">
        <f t="shared" si="4"/>
        <v>884</v>
      </c>
      <c r="H65" s="46"/>
      <c r="I65" s="13">
        <f>[1]!srRng2E($C$13,I$11-$G65)</f>
        <v>10.259793572601454</v>
      </c>
      <c r="J65" s="314">
        <f>[2]!e5adE_ICs(I65,$C$14,$C$15,$C$21,$C$25,$C$24,$C$33,$C$34)*$C$7</f>
        <v>7.2159226274913468</v>
      </c>
      <c r="K65" s="123"/>
      <c r="L65" s="13">
        <f>[1]!srRng2E($C$13,L$11-$G65)</f>
        <v>10.746812386156646</v>
      </c>
      <c r="M65" s="314">
        <f>[2]!e5adE_ICs(L65,$C$14,$C$15,$C$21,$C$25,$C$24,$C$33,$C$34)*$C$7</f>
        <v>11.144264962779069</v>
      </c>
      <c r="N65" s="123"/>
      <c r="O65" s="13">
        <f>[1]!srRng2E($C$13,O$11-$G65)</f>
        <v>11.211479127169993</v>
      </c>
      <c r="P65" s="314">
        <f>[2]!e5adE_ICs(O65,$C$14,$C$15,$C$21,$C$25,$C$24,$C$33,$C$34)*$C$7</f>
        <v>11.271594361823745</v>
      </c>
      <c r="Q65" s="123"/>
      <c r="R65" s="13">
        <f>[1]!srRng2E($C$13,R$11-$G65)</f>
        <v>11.676145868183339</v>
      </c>
      <c r="S65" s="314">
        <f>[2]!e5adE_ICs(R65,$C$14,$C$15,$C$21,$C$25,$C$24,$C$33,$C$34)*$C$7</f>
        <v>11.002603236898572</v>
      </c>
      <c r="T65" s="123"/>
      <c r="U65" s="13">
        <f>[1]!srRng2E($C$13,U$11-$G65)</f>
        <v>12.129747732426305</v>
      </c>
      <c r="V65" s="314">
        <f>[2]!e5adE_ICs(U65,$C$14,$C$15,$C$21,$C$25,$C$24,$C$33,$C$34)*$C$7</f>
        <v>10.770634612409332</v>
      </c>
      <c r="W65" s="9"/>
    </row>
    <row r="66" spans="2:23">
      <c r="B66" s="5"/>
      <c r="C66" s="289"/>
      <c r="D66" s="5"/>
      <c r="E66" s="5"/>
      <c r="F66" s="166"/>
      <c r="G66" s="46">
        <f t="shared" si="4"/>
        <v>885</v>
      </c>
      <c r="H66" s="46"/>
      <c r="I66" s="13">
        <f>[1]!srRng2E($C$13,I$11-$G66)</f>
        <v>10.162053327077958</v>
      </c>
      <c r="J66" s="314">
        <f>[2]!e5adE_ICs(I66,$C$14,$C$15,$C$21,$C$25,$C$24,$C$33,$C$34)*$C$7</f>
        <v>5.5515330676397516</v>
      </c>
      <c r="K66" s="123"/>
      <c r="L66" s="13">
        <f>[1]!srRng2E($C$13,L$11-$G66)</f>
        <v>10.650754554695441</v>
      </c>
      <c r="M66" s="314">
        <f>[2]!e5adE_ICs(L66,$C$14,$C$15,$C$21,$C$25,$C$24,$C$33,$C$34)*$C$7</f>
        <v>10.816496086432547</v>
      </c>
      <c r="N66" s="123"/>
      <c r="O66" s="13">
        <f>[1]!srRng2E($C$13,O$11-$G66)</f>
        <v>11.118545778967324</v>
      </c>
      <c r="P66" s="314">
        <f>[2]!e5adE_ICs(O66,$C$14,$C$15,$C$21,$C$25,$C$24,$C$33,$C$34)*$C$7</f>
        <v>11.286586950993106</v>
      </c>
      <c r="Q66" s="123"/>
      <c r="R66" s="13">
        <f>[1]!srRng2E($C$13,R$11-$G66)</f>
        <v>11.58321251998067</v>
      </c>
      <c r="S66" s="314">
        <f>[2]!e5adE_ICs(R66,$C$14,$C$15,$C$21,$C$25,$C$24,$C$33,$C$34)*$C$7</f>
        <v>11.05741398078932</v>
      </c>
      <c r="T66" s="123"/>
      <c r="U66" s="13">
        <f>[1]!srRng2E($C$13,U$11-$G66)</f>
        <v>12.041170634920636</v>
      </c>
      <c r="V66" s="314">
        <f>[2]!e5adE_ICs(U66,$C$14,$C$15,$C$21,$C$25,$C$24,$C$33,$C$34)*$C$7</f>
        <v>10.860289893285524</v>
      </c>
      <c r="W66" s="9"/>
    </row>
    <row r="67" spans="2:23">
      <c r="B67" s="5"/>
      <c r="C67" s="289"/>
      <c r="D67" s="5"/>
      <c r="E67" s="5"/>
      <c r="F67" s="166"/>
      <c r="G67" s="46">
        <f t="shared" si="4"/>
        <v>886</v>
      </c>
      <c r="H67" s="46"/>
      <c r="I67" s="13">
        <f>[1]!srRng2E($C$13,I$11-$G67)</f>
        <v>10.064313081554459</v>
      </c>
      <c r="J67" s="314">
        <f>[2]!e5adE_ICs(I67,$C$14,$C$15,$C$21,$C$25,$C$24,$C$33,$C$34)*$C$7</f>
        <v>4.0125911581759155</v>
      </c>
      <c r="K67" s="123"/>
      <c r="L67" s="13">
        <f>[1]!srRng2E($C$13,L$11-$G67)</f>
        <v>10.553014309171944</v>
      </c>
      <c r="M67" s="314">
        <f>[2]!e5adE_ICs(L67,$C$14,$C$15,$C$21,$C$25,$C$24,$C$33,$C$34)*$C$7</f>
        <v>10.394833698877877</v>
      </c>
      <c r="N67" s="123"/>
      <c r="O67" s="13">
        <f>[1]!srRng2E($C$13,O$11-$G67)</f>
        <v>11.025612430764655</v>
      </c>
      <c r="P67" s="314">
        <f>[2]!e5adE_ICs(O67,$C$14,$C$15,$C$21,$C$25,$C$24,$C$33,$C$34)*$C$7</f>
        <v>11.337510118325634</v>
      </c>
      <c r="Q67" s="123"/>
      <c r="R67" s="13">
        <f>[1]!srRng2E($C$13,R$11-$G67)</f>
        <v>11.490279171778001</v>
      </c>
      <c r="S67" s="314">
        <f>[2]!e5adE_ICs(R67,$C$14,$C$15,$C$21,$C$25,$C$24,$C$33,$C$34)*$C$7</f>
        <v>11.078367029906744</v>
      </c>
      <c r="T67" s="123"/>
      <c r="U67" s="13">
        <f>[1]!srRng2E($C$13,U$11-$G67)</f>
        <v>11.952593537414966</v>
      </c>
      <c r="V67" s="314">
        <f>[2]!e5adE_ICs(U67,$C$14,$C$15,$C$21,$C$25,$C$24,$C$33,$C$34)*$C$7</f>
        <v>10.891652978840922</v>
      </c>
      <c r="W67" s="9"/>
    </row>
    <row r="68" spans="2:23">
      <c r="B68" s="5"/>
      <c r="C68" s="289"/>
      <c r="D68" s="9"/>
      <c r="G68" s="46">
        <f t="shared" si="4"/>
        <v>887</v>
      </c>
      <c r="H68" s="46"/>
      <c r="I68" s="13">
        <f>[1]!srRng2E($C$13,I$11-$G68)</f>
        <v>9.9665728360309629</v>
      </c>
      <c r="J68" s="314">
        <f>[2]!e5adE_ICs(I68,$C$14,$C$15,$C$21,$C$25,$C$24,$C$33,$C$34)*$C$7</f>
        <v>2.8843663702541082</v>
      </c>
      <c r="K68" s="123"/>
      <c r="L68" s="13">
        <f>[1]!srRng2E($C$13,L$11-$G68)</f>
        <v>10.455274063648448</v>
      </c>
      <c r="M68" s="314">
        <f>[2]!e5adE_ICs(L68,$C$14,$C$15,$C$21,$C$25,$C$24,$C$33,$C$34)*$C$7</f>
        <v>9.7189741327521517</v>
      </c>
      <c r="N68" s="123"/>
      <c r="O68" s="13">
        <f>[1]!srRng2E($C$13,O$11-$G68)</f>
        <v>10.932679082561986</v>
      </c>
      <c r="P68" s="314">
        <f>[2]!e5adE_ICs(O68,$C$14,$C$15,$C$21,$C$25,$C$24,$C$33,$C$34)*$C$7</f>
        <v>11.308890505214187</v>
      </c>
      <c r="Q68" s="123"/>
      <c r="R68" s="13">
        <f>[1]!srRng2E($C$13,R$11-$G68)</f>
        <v>11.397345823575332</v>
      </c>
      <c r="S68" s="314">
        <f>[2]!e5adE_ICs(R68,$C$14,$C$15,$C$21,$C$25,$C$24,$C$33,$C$34)*$C$7</f>
        <v>11.131487072468836</v>
      </c>
      <c r="T68" s="123"/>
      <c r="U68" s="13">
        <f>[1]!srRng2E($C$13,U$11-$G68)</f>
        <v>11.862012564588678</v>
      </c>
      <c r="V68" s="314">
        <f>[2]!e5adE_ICs(U68,$C$14,$C$15,$C$21,$C$25,$C$24,$C$33,$C$34)*$C$7</f>
        <v>10.931921927801636</v>
      </c>
      <c r="W68" s="9"/>
    </row>
    <row r="69" spans="2:23">
      <c r="B69" s="5"/>
      <c r="C69" s="289"/>
      <c r="D69" s="5"/>
      <c r="E69" s="5"/>
      <c r="F69" s="166"/>
      <c r="G69" s="46">
        <f t="shared" si="4"/>
        <v>888</v>
      </c>
      <c r="H69" s="46"/>
      <c r="I69" s="13">
        <f>[1]!srRng2E($C$13,I$11-$G69)</f>
        <v>9.8688325905074663</v>
      </c>
      <c r="J69" s="314">
        <f>[2]!e5adE_ICs(I69,$C$14,$C$15,$C$21,$C$25,$C$24,$C$33,$C$34)*$C$7</f>
        <v>2.1626121918560055</v>
      </c>
      <c r="K69" s="123"/>
      <c r="L69" s="13">
        <f>[1]!srRng2E($C$13,L$11-$G69)</f>
        <v>10.357533818124951</v>
      </c>
      <c r="M69" s="314">
        <f>[2]!e5adE_ICs(L69,$C$14,$C$15,$C$21,$C$25,$C$24,$C$33,$C$34)*$C$7</f>
        <v>8.6389052900458765</v>
      </c>
      <c r="N69" s="123"/>
      <c r="O69" s="13">
        <f>[1]!srRng2E($C$13,O$11-$G69)</f>
        <v>10.839745734359317</v>
      </c>
      <c r="P69" s="314">
        <f>[2]!e5adE_ICs(O69,$C$14,$C$15,$C$21,$C$25,$C$24,$C$33,$C$34)*$C$7</f>
        <v>11.237053930107097</v>
      </c>
      <c r="Q69" s="123"/>
      <c r="R69" s="13">
        <f>[1]!srRng2E($C$13,R$11-$G69)</f>
        <v>11.304412475372663</v>
      </c>
      <c r="S69" s="314">
        <f>[2]!e5adE_ICs(R69,$C$14,$C$15,$C$21,$C$25,$C$24,$C$33,$C$34)*$C$7</f>
        <v>11.261200237630561</v>
      </c>
      <c r="T69" s="123"/>
      <c r="U69" s="13">
        <f>[1]!srRng2E($C$13,U$11-$G69)</f>
        <v>11.769079216386009</v>
      </c>
      <c r="V69" s="314">
        <f>[2]!e5adE_ICs(U69,$C$14,$C$15,$C$21,$C$25,$C$24,$C$33,$C$34)*$C$7</f>
        <v>10.984216601890552</v>
      </c>
      <c r="W69" s="9"/>
    </row>
    <row r="70" spans="2:23">
      <c r="B70" s="159"/>
      <c r="C70" s="55"/>
      <c r="D70" s="55"/>
      <c r="E70" s="55"/>
      <c r="F70" s="166"/>
      <c r="G70" s="46">
        <f t="shared" si="4"/>
        <v>889</v>
      </c>
      <c r="H70" s="46"/>
      <c r="I70" s="13">
        <f>[1]!srRng2E($C$13,I$11-$G70)</f>
        <v>9.7710923449839697</v>
      </c>
      <c r="J70" s="314">
        <f>[2]!e5adE_ICs(I70,$C$14,$C$15,$C$21,$C$25,$C$24,$C$33,$C$34)*$C$7</f>
        <v>1.7582778939837518</v>
      </c>
      <c r="K70" s="123"/>
      <c r="L70" s="13">
        <f>[1]!srRng2E($C$13,L$11-$G70)</f>
        <v>10.259793572601454</v>
      </c>
      <c r="M70" s="314">
        <f>[2]!e5adE_ICs(L70,$C$14,$C$15,$C$21,$C$25,$C$24,$C$33,$C$34)*$C$7</f>
        <v>7.2159226274913468</v>
      </c>
      <c r="N70" s="123"/>
      <c r="O70" s="13">
        <f>[1]!srRng2E($C$13,O$11-$G70)</f>
        <v>10.746812386156646</v>
      </c>
      <c r="P70" s="314">
        <f>[2]!e5adE_ICs(O70,$C$14,$C$15,$C$21,$C$25,$C$24,$C$33,$C$34)*$C$7</f>
        <v>11.144264962779069</v>
      </c>
      <c r="Q70" s="123"/>
      <c r="R70" s="13">
        <f>[1]!srRng2E($C$13,R$11-$G70)</f>
        <v>11.211479127169993</v>
      </c>
      <c r="S70" s="314">
        <f>[2]!e5adE_ICs(R70,$C$14,$C$15,$C$21,$C$25,$C$24,$C$33,$C$34)*$C$7</f>
        <v>11.271594361823745</v>
      </c>
      <c r="T70" s="123"/>
      <c r="U70" s="13">
        <f>[1]!srRng2E($C$13,U$11-$G70)</f>
        <v>11.676145868183339</v>
      </c>
      <c r="V70" s="314">
        <f>[2]!e5adE_ICs(U70,$C$14,$C$15,$C$21,$C$25,$C$24,$C$33,$C$34)*$C$7</f>
        <v>11.002603236898572</v>
      </c>
      <c r="W70" s="9"/>
    </row>
    <row r="71" spans="2:23">
      <c r="B71" s="166"/>
      <c r="C71" s="122"/>
      <c r="D71" s="157"/>
      <c r="E71" s="157"/>
      <c r="F71" s="177"/>
      <c r="G71" s="46">
        <f t="shared" si="4"/>
        <v>890</v>
      </c>
      <c r="H71" s="46"/>
      <c r="I71" s="13">
        <f>[1]!srRng2E($C$13,I$11-$G71)</f>
        <v>9.6733520994604731</v>
      </c>
      <c r="J71" s="314">
        <f>[2]!e5adE_ICs(I71,$C$14,$C$15,$C$21,$C$25,$C$24,$C$33,$C$34)*$C$7</f>
        <v>1.0479469508973536</v>
      </c>
      <c r="K71" s="123"/>
      <c r="L71" s="13">
        <f>[1]!srRng2E($C$13,L$11-$G71)</f>
        <v>10.162053327077958</v>
      </c>
      <c r="M71" s="314">
        <f>[2]!e5adE_ICs(L71,$C$14,$C$15,$C$21,$C$25,$C$24,$C$33,$C$34)*$C$7</f>
        <v>5.5515330676397516</v>
      </c>
      <c r="N71" s="123"/>
      <c r="O71" s="13">
        <f>[1]!srRng2E($C$13,O$11-$G71)</f>
        <v>10.650754554695441</v>
      </c>
      <c r="P71" s="314">
        <f>[2]!e5adE_ICs(O71,$C$14,$C$15,$C$21,$C$25,$C$24,$C$33,$C$34)*$C$7</f>
        <v>10.816496086432547</v>
      </c>
      <c r="Q71" s="123"/>
      <c r="R71" s="13">
        <f>[1]!srRng2E($C$13,R$11-$G71)</f>
        <v>11.118545778967324</v>
      </c>
      <c r="S71" s="314">
        <f>[2]!e5adE_ICs(R71,$C$14,$C$15,$C$21,$C$25,$C$24,$C$33,$C$34)*$C$7</f>
        <v>11.286586950993106</v>
      </c>
      <c r="T71" s="123"/>
      <c r="U71" s="13">
        <f>[1]!srRng2E($C$13,U$11-$G71)</f>
        <v>11.58321251998067</v>
      </c>
      <c r="V71" s="314">
        <f>[2]!e5adE_ICs(U71,$C$14,$C$15,$C$21,$C$25,$C$24,$C$33,$C$34)*$C$7</f>
        <v>11.05741398078932</v>
      </c>
      <c r="W71" s="9"/>
    </row>
    <row r="72" spans="2:23">
      <c r="B72" s="288"/>
      <c r="C72" s="55"/>
      <c r="D72" s="65"/>
      <c r="E72" s="65"/>
      <c r="F72" s="321"/>
      <c r="G72" s="46">
        <f t="shared" si="4"/>
        <v>891</v>
      </c>
      <c r="H72" s="46"/>
      <c r="I72" s="13">
        <f>[1]!srRng2E($C$13,I$11-$G72)</f>
        <v>9.5756118539369766</v>
      </c>
      <c r="J72" s="314">
        <f>[2]!e5adE_ICs(I72,$C$14,$C$15,$C$21,$C$25,$C$24,$C$33,$C$34)*$C$7</f>
        <v>0</v>
      </c>
      <c r="K72" s="123"/>
      <c r="L72" s="13">
        <f>[1]!srRng2E($C$13,L$11-$G72)</f>
        <v>10.064313081554459</v>
      </c>
      <c r="M72" s="314">
        <f>[2]!e5adE_ICs(L72,$C$14,$C$15,$C$21,$C$25,$C$24,$C$33,$C$34)*$C$7</f>
        <v>4.0125911581759155</v>
      </c>
      <c r="N72" s="123"/>
      <c r="O72" s="13">
        <f>[1]!srRng2E($C$13,O$11-$G72)</f>
        <v>10.553014309171944</v>
      </c>
      <c r="P72" s="314">
        <f>[2]!e5adE_ICs(O72,$C$14,$C$15,$C$21,$C$25,$C$24,$C$33,$C$34)*$C$7</f>
        <v>10.394833698877877</v>
      </c>
      <c r="Q72" s="123"/>
      <c r="R72" s="13">
        <f>[1]!srRng2E($C$13,R$11-$G72)</f>
        <v>11.025612430764655</v>
      </c>
      <c r="S72" s="314">
        <f>[2]!e5adE_ICs(R72,$C$14,$C$15,$C$21,$C$25,$C$24,$C$33,$C$34)*$C$7</f>
        <v>11.337510118325634</v>
      </c>
      <c r="T72" s="123"/>
      <c r="U72" s="13">
        <f>[1]!srRng2E($C$13,U$11-$G72)</f>
        <v>11.490279171778001</v>
      </c>
      <c r="V72" s="314">
        <f>[2]!e5adE_ICs(U72,$C$14,$C$15,$C$21,$C$25,$C$24,$C$33,$C$34)*$C$7</f>
        <v>11.078367029906744</v>
      </c>
      <c r="W72" s="9"/>
    </row>
    <row r="73" spans="2:23" ht="12.75" customHeight="1">
      <c r="B73" s="290"/>
      <c r="C73" s="122"/>
      <c r="D73" s="129"/>
      <c r="E73" s="129"/>
      <c r="F73" s="322"/>
      <c r="G73" s="46">
        <f t="shared" si="4"/>
        <v>892</v>
      </c>
      <c r="H73" s="46"/>
      <c r="I73" s="13">
        <f>[1]!srRng2E($C$13,I$11-$G73)</f>
        <v>9.4755330950326631</v>
      </c>
      <c r="J73" s="314">
        <f>[2]!e5adE_ICs(I73,$C$14,$C$15,$C$21,$C$25,$C$24,$C$33,$C$34)*$C$7</f>
        <v>0</v>
      </c>
      <c r="K73" s="123"/>
      <c r="L73" s="13">
        <f>[1]!srRng2E($C$13,L$11-$G73)</f>
        <v>9.9665728360309629</v>
      </c>
      <c r="M73" s="314">
        <f>[2]!e5adE_ICs(L73,$C$14,$C$15,$C$21,$C$25,$C$24,$C$33,$C$34)*$C$7</f>
        <v>2.8843663702541082</v>
      </c>
      <c r="N73" s="123"/>
      <c r="O73" s="13">
        <f>[1]!srRng2E($C$13,O$11-$G73)</f>
        <v>10.455274063648448</v>
      </c>
      <c r="P73" s="314">
        <f>[2]!e5adE_ICs(O73,$C$14,$C$15,$C$21,$C$25,$C$24,$C$33,$C$34)*$C$7</f>
        <v>9.7189741327521517</v>
      </c>
      <c r="Q73" s="123"/>
      <c r="R73" s="13">
        <f>[1]!srRng2E($C$13,R$11-$G73)</f>
        <v>10.932679082561986</v>
      </c>
      <c r="S73" s="314">
        <f>[2]!e5adE_ICs(R73,$C$14,$C$15,$C$21,$C$25,$C$24,$C$33,$C$34)*$C$7</f>
        <v>11.308890505214187</v>
      </c>
      <c r="T73" s="123"/>
      <c r="U73" s="13">
        <f>[1]!srRng2E($C$13,U$11-$G73)</f>
        <v>11.397345823575332</v>
      </c>
      <c r="V73" s="314">
        <f>[2]!e5adE_ICs(U73,$C$14,$C$15,$C$21,$C$25,$C$24,$C$33,$C$34)*$C$7</f>
        <v>11.131487072468836</v>
      </c>
      <c r="W73" s="9"/>
    </row>
    <row r="74" spans="2:23">
      <c r="B74" s="288"/>
      <c r="C74" s="55"/>
      <c r="D74" s="65"/>
      <c r="E74" s="65"/>
      <c r="F74" s="321"/>
      <c r="G74" s="46">
        <f t="shared" si="4"/>
        <v>893</v>
      </c>
      <c r="H74" s="46"/>
      <c r="I74" s="13">
        <f>[1]!srRng2E($C$13,I$11-$G74)</f>
        <v>9.3728172891244501</v>
      </c>
      <c r="J74" s="314">
        <f>[2]!e5adE_ICs(I74,$C$14,$C$15,$C$21,$C$25,$C$24,$C$33,$C$34)*$C$7</f>
        <v>0</v>
      </c>
      <c r="K74" s="123"/>
      <c r="L74" s="13">
        <f>[1]!srRng2E($C$13,L$11-$G74)</f>
        <v>9.8688325905074663</v>
      </c>
      <c r="M74" s="314">
        <f>[2]!e5adE_ICs(L74,$C$14,$C$15,$C$21,$C$25,$C$24,$C$33,$C$34)*$C$7</f>
        <v>2.1626121918560055</v>
      </c>
      <c r="N74" s="123"/>
      <c r="O74" s="13">
        <f>[1]!srRng2E($C$13,O$11-$G74)</f>
        <v>10.357533818124951</v>
      </c>
      <c r="P74" s="314">
        <f>[2]!e5adE_ICs(O74,$C$14,$C$15,$C$21,$C$25,$C$24,$C$33,$C$34)*$C$7</f>
        <v>8.6389052900458765</v>
      </c>
      <c r="Q74" s="123"/>
      <c r="R74" s="13">
        <f>[1]!srRng2E($C$13,R$11-$G74)</f>
        <v>10.839745734359317</v>
      </c>
      <c r="S74" s="314">
        <f>[2]!e5adE_ICs(R74,$C$14,$C$15,$C$21,$C$25,$C$24,$C$33,$C$34)*$C$7</f>
        <v>11.237053930107097</v>
      </c>
      <c r="T74" s="123"/>
      <c r="U74" s="13">
        <f>[1]!srRng2E($C$13,U$11-$G74)</f>
        <v>11.304412475372663</v>
      </c>
      <c r="V74" s="314">
        <f>[2]!e5adE_ICs(U74,$C$14,$C$15,$C$21,$C$25,$C$24,$C$33,$C$34)*$C$7</f>
        <v>11.261200237630561</v>
      </c>
      <c r="W74" s="9"/>
    </row>
    <row r="75" spans="2:23" ht="12.75" customHeight="1">
      <c r="B75" s="290"/>
      <c r="C75" s="122"/>
      <c r="D75" s="129"/>
      <c r="E75" s="129"/>
      <c r="F75" s="322"/>
      <c r="G75" s="46">
        <f t="shared" si="4"/>
        <v>894</v>
      </c>
      <c r="H75" s="46"/>
      <c r="I75" s="13">
        <f>[1]!srRng2E($C$13,I$11-$G75)</f>
        <v>9.2701014832162372</v>
      </c>
      <c r="J75" s="314">
        <f>[2]!e5adE_ICs(I75,$C$14,$C$15,$C$21,$C$25,$C$24,$C$33,$C$34)*$C$7</f>
        <v>0</v>
      </c>
      <c r="K75" s="123"/>
      <c r="L75" s="13">
        <f>[1]!srRng2E($C$13,L$11-$G75)</f>
        <v>9.7710923449839697</v>
      </c>
      <c r="M75" s="314">
        <f>[2]!e5adE_ICs(L75,$C$14,$C$15,$C$21,$C$25,$C$24,$C$33,$C$34)*$C$7</f>
        <v>1.7582778939837518</v>
      </c>
      <c r="N75" s="123"/>
      <c r="O75" s="13">
        <f>[1]!srRng2E($C$13,O$11-$G75)</f>
        <v>10.259793572601454</v>
      </c>
      <c r="P75" s="314">
        <f>[2]!e5adE_ICs(O75,$C$14,$C$15,$C$21,$C$25,$C$24,$C$33,$C$34)*$C$7</f>
        <v>7.2159226274913468</v>
      </c>
      <c r="Q75" s="123"/>
      <c r="R75" s="13">
        <f>[1]!srRng2E($C$13,R$11-$G75)</f>
        <v>10.746812386156646</v>
      </c>
      <c r="S75" s="314">
        <f>[2]!e5adE_ICs(R75,$C$14,$C$15,$C$21,$C$25,$C$24,$C$33,$C$34)*$C$7</f>
        <v>11.144264962779069</v>
      </c>
      <c r="T75" s="123"/>
      <c r="U75" s="13">
        <f>[1]!srRng2E($C$13,U$11-$G75)</f>
        <v>11.211479127169993</v>
      </c>
      <c r="V75" s="314">
        <f>[2]!e5adE_ICs(U75,$C$14,$C$15,$C$21,$C$25,$C$24,$C$33,$C$34)*$C$7</f>
        <v>11.271594361823745</v>
      </c>
      <c r="W75" s="9"/>
    </row>
    <row r="76" spans="2:23">
      <c r="G76" s="46">
        <f t="shared" si="4"/>
        <v>895</v>
      </c>
      <c r="H76" s="46"/>
      <c r="I76" s="13">
        <f>[1]!srRng2E($C$13,I$11-$G76)</f>
        <v>9.1673856773080242</v>
      </c>
      <c r="J76" s="314">
        <f>[2]!e5adE_ICs(I76,$C$14,$C$15,$C$21,$C$25,$C$24,$C$33,$C$34)*$C$7</f>
        <v>0</v>
      </c>
      <c r="K76" s="123"/>
      <c r="L76" s="13">
        <f>[1]!srRng2E($C$13,L$11-$G76)</f>
        <v>9.6733520994604731</v>
      </c>
      <c r="M76" s="314">
        <f>[2]!e5adE_ICs(L76,$C$14,$C$15,$C$21,$C$25,$C$24,$C$33,$C$34)*$C$7</f>
        <v>1.0479469508973536</v>
      </c>
      <c r="N76" s="123"/>
      <c r="O76" s="13">
        <f>[1]!srRng2E($C$13,O$11-$G76)</f>
        <v>10.162053327077958</v>
      </c>
      <c r="P76" s="314">
        <f>[2]!e5adE_ICs(O76,$C$14,$C$15,$C$21,$C$25,$C$24,$C$33,$C$34)*$C$7</f>
        <v>5.5515330676397516</v>
      </c>
      <c r="Q76" s="123"/>
      <c r="R76" s="13">
        <f>[1]!srRng2E($C$13,R$11-$G76)</f>
        <v>10.650754554695441</v>
      </c>
      <c r="S76" s="314">
        <f>[2]!e5adE_ICs(R76,$C$14,$C$15,$C$21,$C$25,$C$24,$C$33,$C$34)*$C$7</f>
        <v>10.816496086432547</v>
      </c>
      <c r="T76" s="123"/>
      <c r="U76" s="13">
        <f>[1]!srRng2E($C$13,U$11-$G76)</f>
        <v>11.118545778967324</v>
      </c>
      <c r="V76" s="314">
        <f>[2]!e5adE_ICs(U76,$C$14,$C$15,$C$21,$C$25,$C$24,$C$33,$C$34)*$C$7</f>
        <v>11.286586950993106</v>
      </c>
      <c r="W76" s="9"/>
    </row>
    <row r="77" spans="2:23">
      <c r="G77" s="46">
        <f t="shared" si="4"/>
        <v>896</v>
      </c>
      <c r="H77" s="46"/>
      <c r="I77" s="13">
        <f>[1]!srRng2E($C$13,I$11-$G77)</f>
        <v>9.0646698713998113</v>
      </c>
      <c r="J77" s="314">
        <f>[2]!e5adE_ICs(I77,$C$14,$C$15,$C$21,$C$25,$C$24,$C$33,$C$34)*$C$7</f>
        <v>0</v>
      </c>
      <c r="K77" s="123"/>
      <c r="L77" s="13">
        <f>[1]!srRng2E($C$13,L$11-$G77)</f>
        <v>9.5756118539369766</v>
      </c>
      <c r="M77" s="314">
        <f>[2]!e5adE_ICs(L77,$C$14,$C$15,$C$21,$C$25,$C$24,$C$33,$C$34)*$C$7</f>
        <v>0</v>
      </c>
      <c r="N77" s="123"/>
      <c r="O77" s="13">
        <f>[1]!srRng2E($C$13,O$11-$G77)</f>
        <v>10.064313081554459</v>
      </c>
      <c r="P77" s="314">
        <f>[2]!e5adE_ICs(O77,$C$14,$C$15,$C$21,$C$25,$C$24,$C$33,$C$34)*$C$7</f>
        <v>4.0125911581759155</v>
      </c>
      <c r="Q77" s="123"/>
      <c r="R77" s="13">
        <f>[1]!srRng2E($C$13,R$11-$G77)</f>
        <v>10.553014309171944</v>
      </c>
      <c r="S77" s="314">
        <f>[2]!e5adE_ICs(R77,$C$14,$C$15,$C$21,$C$25,$C$24,$C$33,$C$34)*$C$7</f>
        <v>10.394833698877877</v>
      </c>
      <c r="T77" s="123"/>
      <c r="U77" s="13">
        <f>[1]!srRng2E($C$13,U$11-$G77)</f>
        <v>11.025612430764655</v>
      </c>
      <c r="V77" s="314">
        <f>[2]!e5adE_ICs(U77,$C$14,$C$15,$C$21,$C$25,$C$24,$C$33,$C$34)*$C$7</f>
        <v>11.337510118325634</v>
      </c>
      <c r="W77" s="9"/>
    </row>
    <row r="78" spans="2:23">
      <c r="G78" s="46">
        <f t="shared" si="4"/>
        <v>897</v>
      </c>
      <c r="H78" s="46"/>
      <c r="I78" s="13">
        <f>[1]!srRng2E($C$13,I$11-$G78)</f>
        <v>8.9619540654915983</v>
      </c>
      <c r="J78" s="314">
        <f>[2]!e5adE_ICs(I78,$C$14,$C$15,$C$21,$C$25,$C$24,$C$33,$C$34)*$C$7</f>
        <v>0</v>
      </c>
      <c r="K78" s="123"/>
      <c r="L78" s="13">
        <f>[1]!srRng2E($C$13,L$11-$G78)</f>
        <v>9.4755330950326631</v>
      </c>
      <c r="M78" s="314">
        <f>[2]!e5adE_ICs(L78,$C$14,$C$15,$C$21,$C$25,$C$24,$C$33,$C$34)*$C$7</f>
        <v>0</v>
      </c>
      <c r="N78" s="123"/>
      <c r="O78" s="13">
        <f>[1]!srRng2E($C$13,O$11-$G78)</f>
        <v>9.9665728360309629</v>
      </c>
      <c r="P78" s="314">
        <f>[2]!e5adE_ICs(O78,$C$14,$C$15,$C$21,$C$25,$C$24,$C$33,$C$34)*$C$7</f>
        <v>2.8843663702541082</v>
      </c>
      <c r="Q78" s="123"/>
      <c r="R78" s="13">
        <f>[1]!srRng2E($C$13,R$11-$G78)</f>
        <v>10.455274063648448</v>
      </c>
      <c r="S78" s="314">
        <f>[2]!e5adE_ICs(R78,$C$14,$C$15,$C$21,$C$25,$C$24,$C$33,$C$34)*$C$7</f>
        <v>9.7189741327521517</v>
      </c>
      <c r="T78" s="123"/>
      <c r="U78" s="13">
        <f>[1]!srRng2E($C$13,U$11-$G78)</f>
        <v>10.932679082561986</v>
      </c>
      <c r="V78" s="314">
        <f>[2]!e5adE_ICs(U78,$C$14,$C$15,$C$21,$C$25,$C$24,$C$33,$C$34)*$C$7</f>
        <v>11.308890505214187</v>
      </c>
      <c r="W78" s="9"/>
    </row>
    <row r="79" spans="2:23">
      <c r="G79" s="46">
        <f t="shared" si="4"/>
        <v>898</v>
      </c>
      <c r="H79" s="46"/>
      <c r="I79" s="13">
        <f>[1]!srRng2E($C$13,I$11-$G79)</f>
        <v>8.8592382595833854</v>
      </c>
      <c r="J79" s="314">
        <f>[2]!e5adE_ICs(I79,$C$14,$C$15,$C$21,$C$25,$C$24,$C$33,$C$34)*$C$7</f>
        <v>0</v>
      </c>
      <c r="K79" s="123"/>
      <c r="L79" s="13">
        <f>[1]!srRng2E($C$13,L$11-$G79)</f>
        <v>9.3728172891244501</v>
      </c>
      <c r="M79" s="314">
        <f>[2]!e5adE_ICs(L79,$C$14,$C$15,$C$21,$C$25,$C$24,$C$33,$C$34)*$C$7</f>
        <v>0</v>
      </c>
      <c r="N79" s="123"/>
      <c r="O79" s="13">
        <f>[1]!srRng2E($C$13,O$11-$G79)</f>
        <v>9.8688325905074663</v>
      </c>
      <c r="P79" s="314">
        <f>[2]!e5adE_ICs(O79,$C$14,$C$15,$C$21,$C$25,$C$24,$C$33,$C$34)*$C$7</f>
        <v>2.1626121918560055</v>
      </c>
      <c r="Q79" s="123"/>
      <c r="R79" s="13">
        <f>[1]!srRng2E($C$13,R$11-$G79)</f>
        <v>10.357533818124951</v>
      </c>
      <c r="S79" s="314">
        <f>[2]!e5adE_ICs(R79,$C$14,$C$15,$C$21,$C$25,$C$24,$C$33,$C$34)*$C$7</f>
        <v>8.6389052900458765</v>
      </c>
      <c r="T79" s="123"/>
      <c r="U79" s="13">
        <f>[1]!srRng2E($C$13,U$11-$G79)</f>
        <v>10.839745734359317</v>
      </c>
      <c r="V79" s="314">
        <f>[2]!e5adE_ICs(U79,$C$14,$C$15,$C$21,$C$25,$C$24,$C$33,$C$34)*$C$7</f>
        <v>11.237053930107097</v>
      </c>
      <c r="W79" s="9"/>
    </row>
    <row r="80" spans="2:23">
      <c r="B80" s="9"/>
      <c r="C80" s="9"/>
      <c r="D80" s="9"/>
      <c r="G80" s="46">
        <f t="shared" si="4"/>
        <v>899</v>
      </c>
      <c r="H80" s="46"/>
      <c r="I80" s="13">
        <f>[1]!srRng2E($C$13,I$11-$G80)</f>
        <v>8.7565224536751725</v>
      </c>
      <c r="J80" s="314">
        <f>[2]!e5adE_ICs(I80,$C$14,$C$15,$C$21,$C$25,$C$24,$C$33,$C$34)*$C$7</f>
        <v>0</v>
      </c>
      <c r="K80" s="123"/>
      <c r="L80" s="13">
        <f>[1]!srRng2E($C$13,L$11-$G80)</f>
        <v>9.2701014832162372</v>
      </c>
      <c r="M80" s="314">
        <f>[2]!e5adE_ICs(L80,$C$14,$C$15,$C$21,$C$25,$C$24,$C$33,$C$34)*$C$7</f>
        <v>0</v>
      </c>
      <c r="N80" s="123"/>
      <c r="O80" s="13">
        <f>[1]!srRng2E($C$13,O$11-$G80)</f>
        <v>9.7710923449839697</v>
      </c>
      <c r="P80" s="314">
        <f>[2]!e5adE_ICs(O80,$C$14,$C$15,$C$21,$C$25,$C$24,$C$33,$C$34)*$C$7</f>
        <v>1.7582778939837518</v>
      </c>
      <c r="Q80" s="123"/>
      <c r="R80" s="13">
        <f>[1]!srRng2E($C$13,R$11-$G80)</f>
        <v>10.259793572601454</v>
      </c>
      <c r="S80" s="314">
        <f>[2]!e5adE_ICs(R80,$C$14,$C$15,$C$21,$C$25,$C$24,$C$33,$C$34)*$C$7</f>
        <v>7.2159226274913468</v>
      </c>
      <c r="T80" s="123"/>
      <c r="U80" s="13">
        <f>[1]!srRng2E($C$13,U$11-$G80)</f>
        <v>10.746812386156646</v>
      </c>
      <c r="V80" s="314">
        <f>[2]!e5adE_ICs(U80,$C$14,$C$15,$C$21,$C$25,$C$24,$C$33,$C$34)*$C$7</f>
        <v>11.144264962779069</v>
      </c>
      <c r="W80" s="9"/>
    </row>
    <row r="81" spans="2:23">
      <c r="B81" s="9"/>
      <c r="C81" s="55"/>
      <c r="D81" s="9"/>
      <c r="E81" s="51"/>
      <c r="F81" s="320"/>
      <c r="G81" s="46">
        <f t="shared" si="4"/>
        <v>900</v>
      </c>
      <c r="H81" s="46"/>
      <c r="I81" s="13">
        <f>[1]!srRng2E($C$13,I$11-$G81)</f>
        <v>8.6538066477669595</v>
      </c>
      <c r="J81" s="314">
        <f>[2]!e5adE_ICs(I81,$C$14,$C$15,$C$21,$C$25,$C$24,$C$33,$C$34)*$C$7</f>
        <v>0</v>
      </c>
      <c r="K81" s="123"/>
      <c r="L81" s="13">
        <f>[1]!srRng2E($C$13,L$11-$G81)</f>
        <v>9.1673856773080242</v>
      </c>
      <c r="M81" s="314">
        <f>[2]!e5adE_ICs(L81,$C$14,$C$15,$C$21,$C$25,$C$24,$C$33,$C$34)*$C$7</f>
        <v>0</v>
      </c>
      <c r="N81" s="123"/>
      <c r="O81" s="13">
        <f>[1]!srRng2E($C$13,O$11-$G81)</f>
        <v>9.6733520994604731</v>
      </c>
      <c r="P81" s="314">
        <f>[2]!e5adE_ICs(O81,$C$14,$C$15,$C$21,$C$25,$C$24,$C$33,$C$34)*$C$7</f>
        <v>1.0479469508973536</v>
      </c>
      <c r="Q81" s="123"/>
      <c r="R81" s="13">
        <f>[1]!srRng2E($C$13,R$11-$G81)</f>
        <v>10.162053327077958</v>
      </c>
      <c r="S81" s="314">
        <f>[2]!e5adE_ICs(R81,$C$14,$C$15,$C$21,$C$25,$C$24,$C$33,$C$34)*$C$7</f>
        <v>5.5515330676397516</v>
      </c>
      <c r="T81" s="123"/>
      <c r="U81" s="13">
        <f>[1]!srRng2E($C$13,U$11-$G81)</f>
        <v>10.650754554695441</v>
      </c>
      <c r="V81" s="314">
        <f>[2]!e5adE_ICs(U81,$C$14,$C$15,$C$21,$C$25,$C$24,$C$33,$C$34)*$C$7</f>
        <v>10.816496086432547</v>
      </c>
      <c r="W81" s="9"/>
    </row>
    <row r="82" spans="2:23">
      <c r="B82" s="9"/>
      <c r="C82" s="164"/>
      <c r="D82" s="9"/>
      <c r="E82" s="51"/>
      <c r="F82" s="320"/>
      <c r="G82" s="46">
        <f t="shared" si="4"/>
        <v>901</v>
      </c>
      <c r="H82" s="46"/>
      <c r="I82" s="13">
        <f>[1]!srRng2E($C$13,I$11-$G82)</f>
        <v>8.5510908418587466</v>
      </c>
      <c r="J82" s="314">
        <f>[2]!e5adE_ICs(I82,$C$14,$C$15,$C$21,$C$25,$C$24,$C$33,$C$34)*$C$7</f>
        <v>0</v>
      </c>
      <c r="K82" s="123"/>
      <c r="L82" s="13">
        <f>[1]!srRng2E($C$13,L$11-$G82)</f>
        <v>9.0646698713998113</v>
      </c>
      <c r="M82" s="314">
        <f>[2]!e5adE_ICs(L82,$C$14,$C$15,$C$21,$C$25,$C$24,$C$33,$C$34)*$C$7</f>
        <v>0</v>
      </c>
      <c r="N82" s="123"/>
      <c r="O82" s="13">
        <f>[1]!srRng2E($C$13,O$11-$G82)</f>
        <v>9.5756118539369766</v>
      </c>
      <c r="P82" s="314">
        <f>[2]!e5adE_ICs(O82,$C$14,$C$15,$C$21,$C$25,$C$24,$C$33,$C$34)*$C$7</f>
        <v>0</v>
      </c>
      <c r="Q82" s="123"/>
      <c r="R82" s="13">
        <f>[1]!srRng2E($C$13,R$11-$G82)</f>
        <v>10.064313081554459</v>
      </c>
      <c r="S82" s="314">
        <f>[2]!e5adE_ICs(R82,$C$14,$C$15,$C$21,$C$25,$C$24,$C$33,$C$34)*$C$7</f>
        <v>4.0125911581759155</v>
      </c>
      <c r="T82" s="123"/>
      <c r="U82" s="13">
        <f>[1]!srRng2E($C$13,U$11-$G82)</f>
        <v>10.553014309171944</v>
      </c>
      <c r="V82" s="314">
        <f>[2]!e5adE_ICs(U82,$C$14,$C$15,$C$21,$C$25,$C$24,$C$33,$C$34)*$C$7</f>
        <v>10.394833698877877</v>
      </c>
      <c r="W82" s="9"/>
    </row>
    <row r="83" spans="2:23">
      <c r="B83" s="288"/>
      <c r="C83" s="9"/>
      <c r="D83" s="9"/>
      <c r="E83" s="9"/>
      <c r="F83" s="318"/>
      <c r="G83" s="46">
        <f t="shared" si="4"/>
        <v>902</v>
      </c>
      <c r="H83" s="46"/>
      <c r="I83" s="13">
        <f>[1]!srRng2E($C$13,I$11-$G83)</f>
        <v>8.4483750359505336</v>
      </c>
      <c r="J83" s="314">
        <f>[2]!e5adE_ICs(I83,$C$14,$C$15,$C$21,$C$25,$C$24,$C$33,$C$34)*$C$7</f>
        <v>0</v>
      </c>
      <c r="K83" s="123"/>
      <c r="L83" s="13">
        <f>[1]!srRng2E($C$13,L$11-$G83)</f>
        <v>8.9619540654915983</v>
      </c>
      <c r="M83" s="314">
        <f>[2]!e5adE_ICs(L83,$C$14,$C$15,$C$21,$C$25,$C$24,$C$33,$C$34)*$C$7</f>
        <v>0</v>
      </c>
      <c r="N83" s="123"/>
      <c r="O83" s="13">
        <f>[1]!srRng2E($C$13,O$11-$G83)</f>
        <v>9.4755330950326631</v>
      </c>
      <c r="P83" s="314">
        <f>[2]!e5adE_ICs(O83,$C$14,$C$15,$C$21,$C$25,$C$24,$C$33,$C$34)*$C$7</f>
        <v>0</v>
      </c>
      <c r="Q83" s="123"/>
      <c r="R83" s="13">
        <f>[1]!srRng2E($C$13,R$11-$G83)</f>
        <v>9.9665728360309629</v>
      </c>
      <c r="S83" s="314">
        <f>[2]!e5adE_ICs(R83,$C$14,$C$15,$C$21,$C$25,$C$24,$C$33,$C$34)*$C$7</f>
        <v>2.8843663702541082</v>
      </c>
      <c r="T83" s="123"/>
      <c r="U83" s="13">
        <f>[1]!srRng2E($C$13,U$11-$G83)</f>
        <v>10.455274063648448</v>
      </c>
      <c r="V83" s="314">
        <f>[2]!e5adE_ICs(U83,$C$14,$C$15,$C$21,$C$25,$C$24,$C$33,$C$34)*$C$7</f>
        <v>9.7189741327521517</v>
      </c>
      <c r="W83" s="9"/>
    </row>
    <row r="84" spans="2:23">
      <c r="B84" s="5"/>
      <c r="C84" s="289"/>
      <c r="D84" s="5"/>
      <c r="E84" s="5"/>
      <c r="F84" s="166"/>
      <c r="G84" s="46">
        <f t="shared" si="4"/>
        <v>903</v>
      </c>
      <c r="H84" s="46"/>
      <c r="I84" s="13">
        <f>[1]!srRng2E($C$13,I$11-$G84)</f>
        <v>8.3456592300423207</v>
      </c>
      <c r="J84" s="314">
        <f>[2]!e5adE_ICs(I84,$C$14,$C$15,$C$21,$C$25,$C$24,$C$33,$C$34)*$C$7</f>
        <v>0</v>
      </c>
      <c r="K84" s="123"/>
      <c r="L84" s="13">
        <f>[1]!srRng2E($C$13,L$11-$G84)</f>
        <v>8.8592382595833854</v>
      </c>
      <c r="M84" s="314">
        <f>[2]!e5adE_ICs(L84,$C$14,$C$15,$C$21,$C$25,$C$24,$C$33,$C$34)*$C$7</f>
        <v>0</v>
      </c>
      <c r="N84" s="123"/>
      <c r="O84" s="13">
        <f>[1]!srRng2E($C$13,O$11-$G84)</f>
        <v>9.3728172891244501</v>
      </c>
      <c r="P84" s="314">
        <f>[2]!e5adE_ICs(O84,$C$14,$C$15,$C$21,$C$25,$C$24,$C$33,$C$34)*$C$7</f>
        <v>0</v>
      </c>
      <c r="Q84" s="123"/>
      <c r="R84" s="13">
        <f>[1]!srRng2E($C$13,R$11-$G84)</f>
        <v>9.8688325905074663</v>
      </c>
      <c r="S84" s="314">
        <f>[2]!e5adE_ICs(R84,$C$14,$C$15,$C$21,$C$25,$C$24,$C$33,$C$34)*$C$7</f>
        <v>2.1626121918560055</v>
      </c>
      <c r="T84" s="123"/>
      <c r="U84" s="13">
        <f>[1]!srRng2E($C$13,U$11-$G84)</f>
        <v>10.357533818124951</v>
      </c>
      <c r="V84" s="314">
        <f>[2]!e5adE_ICs(U84,$C$14,$C$15,$C$21,$C$25,$C$24,$C$33,$C$34)*$C$7</f>
        <v>8.6389052900458765</v>
      </c>
      <c r="W84" s="9"/>
    </row>
    <row r="85" spans="2:23">
      <c r="B85" s="5"/>
      <c r="C85" s="289"/>
      <c r="D85" s="5"/>
      <c r="E85" s="5"/>
      <c r="F85" s="166"/>
      <c r="G85" s="46">
        <f t="shared" si="4"/>
        <v>904</v>
      </c>
      <c r="H85" s="46"/>
      <c r="I85" s="13">
        <f>[1]!srRng2E($C$13,I$11-$G85)</f>
        <v>8.2394606588154993</v>
      </c>
      <c r="J85" s="314">
        <f>[2]!e5adE_ICs(I85,$C$14,$C$15,$C$21,$C$25,$C$24,$C$33,$C$34)*$C$7</f>
        <v>0</v>
      </c>
      <c r="K85" s="123"/>
      <c r="L85" s="13">
        <f>[1]!srRng2E($C$13,L$11-$G85)</f>
        <v>8.7565224536751725</v>
      </c>
      <c r="M85" s="314">
        <f>[2]!e5adE_ICs(L85,$C$14,$C$15,$C$21,$C$25,$C$24,$C$33,$C$34)*$C$7</f>
        <v>0</v>
      </c>
      <c r="N85" s="123"/>
      <c r="O85" s="13">
        <f>[1]!srRng2E($C$13,O$11-$G85)</f>
        <v>9.2701014832162372</v>
      </c>
      <c r="P85" s="314">
        <f>[2]!e5adE_ICs(O85,$C$14,$C$15,$C$21,$C$25,$C$24,$C$33,$C$34)*$C$7</f>
        <v>0</v>
      </c>
      <c r="Q85" s="123"/>
      <c r="R85" s="13">
        <f>[1]!srRng2E($C$13,R$11-$G85)</f>
        <v>9.7710923449839697</v>
      </c>
      <c r="S85" s="314">
        <f>[2]!e5adE_ICs(R85,$C$14,$C$15,$C$21,$C$25,$C$24,$C$33,$C$34)*$C$7</f>
        <v>1.7582778939837518</v>
      </c>
      <c r="T85" s="123"/>
      <c r="U85" s="13">
        <f>[1]!srRng2E($C$13,U$11-$G85)</f>
        <v>10.259793572601454</v>
      </c>
      <c r="V85" s="314">
        <f>[2]!e5adE_ICs(U85,$C$14,$C$15,$C$21,$C$25,$C$24,$C$33,$C$34)*$C$7</f>
        <v>7.2159226274913468</v>
      </c>
      <c r="W85" s="9"/>
    </row>
    <row r="86" spans="2:23">
      <c r="B86" s="5"/>
      <c r="C86" s="289"/>
      <c r="D86" s="9"/>
      <c r="G86" s="46">
        <f t="shared" si="4"/>
        <v>905</v>
      </c>
      <c r="H86" s="46"/>
      <c r="I86" s="13">
        <f>[1]!srRng2E($C$13,I$11-$G86)</f>
        <v>8.1327871650452312</v>
      </c>
      <c r="J86" s="314">
        <f>[2]!e5adE_ICs(I86,$C$14,$C$15,$C$21,$C$25,$C$24,$C$33,$C$34)*$C$7</f>
        <v>0</v>
      </c>
      <c r="K86" s="123"/>
      <c r="L86" s="13">
        <f>[1]!srRng2E($C$13,L$11-$G86)</f>
        <v>8.6538066477669595</v>
      </c>
      <c r="M86" s="314">
        <f>[2]!e5adE_ICs(L86,$C$14,$C$15,$C$21,$C$25,$C$24,$C$33,$C$34)*$C$7</f>
        <v>0</v>
      </c>
      <c r="N86" s="123"/>
      <c r="O86" s="13">
        <f>[1]!srRng2E($C$13,O$11-$G86)</f>
        <v>9.1673856773080242</v>
      </c>
      <c r="P86" s="314">
        <f>[2]!e5adE_ICs(O86,$C$14,$C$15,$C$21,$C$25,$C$24,$C$33,$C$34)*$C$7</f>
        <v>0</v>
      </c>
      <c r="Q86" s="123"/>
      <c r="R86" s="13">
        <f>[1]!srRng2E($C$13,R$11-$G86)</f>
        <v>9.6733520994604731</v>
      </c>
      <c r="S86" s="314">
        <f>[2]!e5adE_ICs(R86,$C$14,$C$15,$C$21,$C$25,$C$24,$C$33,$C$34)*$C$7</f>
        <v>1.0479469508973536</v>
      </c>
      <c r="T86" s="123"/>
      <c r="U86" s="13">
        <f>[1]!srRng2E($C$13,U$11-$G86)</f>
        <v>10.162053327077958</v>
      </c>
      <c r="V86" s="314">
        <f>[2]!e5adE_ICs(U86,$C$14,$C$15,$C$21,$C$25,$C$24,$C$33,$C$34)*$C$7</f>
        <v>5.5515330676397516</v>
      </c>
      <c r="W86" s="9"/>
    </row>
    <row r="87" spans="2:23">
      <c r="G87" s="46">
        <f t="shared" si="4"/>
        <v>906</v>
      </c>
      <c r="H87" s="46"/>
      <c r="I87" s="13">
        <f>[1]!srRng2E($C$13,I$11-$G87)</f>
        <v>8.0261136712749614</v>
      </c>
      <c r="J87" s="314">
        <f>[2]!e5adE_ICs(I87,$C$14,$C$15,$C$21,$C$25,$C$24,$C$33,$C$34)*$C$7</f>
        <v>0</v>
      </c>
      <c r="K87" s="123"/>
      <c r="L87" s="13">
        <f>[1]!srRng2E($C$13,L$11-$G87)</f>
        <v>8.5510908418587466</v>
      </c>
      <c r="M87" s="314">
        <f>[2]!e5adE_ICs(L87,$C$14,$C$15,$C$21,$C$25,$C$24,$C$33,$C$34)*$C$7</f>
        <v>0</v>
      </c>
      <c r="N87" s="123"/>
      <c r="O87" s="13">
        <f>[1]!srRng2E($C$13,O$11-$G87)</f>
        <v>9.0646698713998113</v>
      </c>
      <c r="P87" s="314">
        <f>[2]!e5adE_ICs(O87,$C$14,$C$15,$C$21,$C$25,$C$24,$C$33,$C$34)*$C$7</f>
        <v>0</v>
      </c>
      <c r="Q87" s="123"/>
      <c r="R87" s="13">
        <f>[1]!srRng2E($C$13,R$11-$G87)</f>
        <v>9.5756118539369766</v>
      </c>
      <c r="S87" s="314">
        <f>[2]!e5adE_ICs(R87,$C$14,$C$15,$C$21,$C$25,$C$24,$C$33,$C$34)*$C$7</f>
        <v>0</v>
      </c>
      <c r="T87" s="123"/>
      <c r="U87" s="13">
        <f>[1]!srRng2E($C$13,U$11-$G87)</f>
        <v>10.064313081554459</v>
      </c>
      <c r="V87" s="314">
        <f>[2]!e5adE_ICs(U87,$C$14,$C$15,$C$21,$C$25,$C$24,$C$33,$C$34)*$C$7</f>
        <v>4.0125911581759155</v>
      </c>
      <c r="W87" s="9"/>
    </row>
    <row r="88" spans="2:23">
      <c r="G88" s="46">
        <f t="shared" si="4"/>
        <v>907</v>
      </c>
      <c r="H88" s="46"/>
      <c r="I88" s="13">
        <f>[1]!srRng2E($C$13,I$11-$G88)</f>
        <v>7.9194401775046943</v>
      </c>
      <c r="J88" s="314">
        <f>[2]!e5adE_ICs(I88,$C$14,$C$15,$C$21,$C$25,$C$24,$C$33,$C$34)*$C$7</f>
        <v>0</v>
      </c>
      <c r="K88" s="123"/>
      <c r="L88" s="13">
        <f>[1]!srRng2E($C$13,L$11-$G88)</f>
        <v>8.4483750359505336</v>
      </c>
      <c r="M88" s="314">
        <f>[2]!e5adE_ICs(L88,$C$14,$C$15,$C$21,$C$25,$C$24,$C$33,$C$34)*$C$7</f>
        <v>0</v>
      </c>
      <c r="N88" s="123"/>
      <c r="O88" s="13">
        <f>[1]!srRng2E($C$13,O$11-$G88)</f>
        <v>8.9619540654915983</v>
      </c>
      <c r="P88" s="314">
        <f>[2]!e5adE_ICs(O88,$C$14,$C$15,$C$21,$C$25,$C$24,$C$33,$C$34)*$C$7</f>
        <v>0</v>
      </c>
      <c r="Q88" s="123"/>
      <c r="R88" s="13">
        <f>[1]!srRng2E($C$13,R$11-$G88)</f>
        <v>9.4755330950326631</v>
      </c>
      <c r="S88" s="314">
        <f>[2]!e5adE_ICs(R88,$C$14,$C$15,$C$21,$C$25,$C$24,$C$33,$C$34)*$C$7</f>
        <v>0</v>
      </c>
      <c r="T88" s="123"/>
      <c r="U88" s="13">
        <f>[1]!srRng2E($C$13,U$11-$G88)</f>
        <v>9.9665728360309629</v>
      </c>
      <c r="V88" s="314">
        <f>[2]!e5adE_ICs(U88,$C$14,$C$15,$C$21,$C$25,$C$24,$C$33,$C$34)*$C$7</f>
        <v>2.8843663702541082</v>
      </c>
      <c r="W88" s="9"/>
    </row>
    <row r="89" spans="2:23">
      <c r="G89" s="46">
        <f t="shared" si="4"/>
        <v>908</v>
      </c>
      <c r="H89" s="46"/>
      <c r="I89" s="13">
        <f>[1]!srRng2E($C$13,I$11-$G89)</f>
        <v>7.8127666837344263</v>
      </c>
      <c r="J89" s="314">
        <f>[2]!e5adE_ICs(I89,$C$14,$C$15,$C$21,$C$25,$C$24,$C$33,$C$34)*$C$7</f>
        <v>0</v>
      </c>
      <c r="K89" s="123"/>
      <c r="L89" s="13">
        <f>[1]!srRng2E($C$13,L$11-$G89)</f>
        <v>8.3456592300423207</v>
      </c>
      <c r="M89" s="314">
        <f>[2]!e5adE_ICs(L89,$C$14,$C$15,$C$21,$C$25,$C$24,$C$33,$C$34)*$C$7</f>
        <v>0</v>
      </c>
      <c r="N89" s="123"/>
      <c r="O89" s="13">
        <f>[1]!srRng2E($C$13,O$11-$G89)</f>
        <v>8.8592382595833854</v>
      </c>
      <c r="P89" s="314">
        <f>[2]!e5adE_ICs(O89,$C$14,$C$15,$C$21,$C$25,$C$24,$C$33,$C$34)*$C$7</f>
        <v>0</v>
      </c>
      <c r="Q89" s="123"/>
      <c r="R89" s="13">
        <f>[1]!srRng2E($C$13,R$11-$G89)</f>
        <v>9.3728172891244501</v>
      </c>
      <c r="S89" s="314">
        <f>[2]!e5adE_ICs(R89,$C$14,$C$15,$C$21,$C$25,$C$24,$C$33,$C$34)*$C$7</f>
        <v>0</v>
      </c>
      <c r="T89" s="123"/>
      <c r="U89" s="13">
        <f>[1]!srRng2E($C$13,U$11-$G89)</f>
        <v>9.8688325905074663</v>
      </c>
      <c r="V89" s="314">
        <f>[2]!e5adE_ICs(U89,$C$14,$C$15,$C$21,$C$25,$C$24,$C$33,$C$34)*$C$7</f>
        <v>2.1626121918560055</v>
      </c>
      <c r="W89" s="9"/>
    </row>
    <row r="90" spans="2:23">
      <c r="B90" s="9"/>
      <c r="C90" s="9"/>
      <c r="D90" s="9"/>
      <c r="G90" s="46">
        <f t="shared" si="4"/>
        <v>909</v>
      </c>
      <c r="H90" s="46"/>
      <c r="I90" s="13">
        <f>[1]!srRng2E($C$13,I$11-$G90)</f>
        <v>7.7052091554853988</v>
      </c>
      <c r="J90" s="314">
        <f>[2]!e5adE_ICs(I90,$C$14,$C$15,$C$21,$C$25,$C$24,$C$33,$C$34)*$C$7</f>
        <v>0</v>
      </c>
      <c r="K90" s="123"/>
      <c r="L90" s="13">
        <f>[1]!srRng2E($C$13,L$11-$G90)</f>
        <v>8.2394606588154993</v>
      </c>
      <c r="M90" s="314">
        <f>[2]!e5adE_ICs(L90,$C$14,$C$15,$C$21,$C$25,$C$24,$C$33,$C$34)*$C$7</f>
        <v>0</v>
      </c>
      <c r="N90" s="123"/>
      <c r="O90" s="13">
        <f>[1]!srRng2E($C$13,O$11-$G90)</f>
        <v>8.7565224536751725</v>
      </c>
      <c r="P90" s="314">
        <f>[2]!e5adE_ICs(O90,$C$14,$C$15,$C$21,$C$25,$C$24,$C$33,$C$34)*$C$7</f>
        <v>0</v>
      </c>
      <c r="Q90" s="123"/>
      <c r="R90" s="13">
        <f>[1]!srRng2E($C$13,R$11-$G90)</f>
        <v>9.2701014832162372</v>
      </c>
      <c r="S90" s="314">
        <f>[2]!e5adE_ICs(R90,$C$14,$C$15,$C$21,$C$25,$C$24,$C$33,$C$34)*$C$7</f>
        <v>0</v>
      </c>
      <c r="T90" s="123"/>
      <c r="U90" s="13">
        <f>[1]!srRng2E($C$13,U$11-$G90)</f>
        <v>9.7710923449839697</v>
      </c>
      <c r="V90" s="314">
        <f>[2]!e5adE_ICs(U90,$C$14,$C$15,$C$21,$C$25,$C$24,$C$33,$C$34)*$C$7</f>
        <v>1.7582778939837518</v>
      </c>
      <c r="W90" s="9"/>
    </row>
    <row r="91" spans="2:23">
      <c r="B91" s="9"/>
      <c r="C91" s="55"/>
      <c r="D91" s="9"/>
      <c r="E91" s="51"/>
      <c r="F91" s="320"/>
      <c r="G91" s="46">
        <f t="shared" si="4"/>
        <v>910</v>
      </c>
      <c r="H91" s="46"/>
      <c r="I91" s="13">
        <f>[1]!srRng2E($C$13,I$11-$G91)</f>
        <v>7.5955888801192675</v>
      </c>
      <c r="J91" s="314">
        <f>[2]!e5adE_ICs(I91,$C$14,$C$15,$C$21,$C$25,$C$24,$C$33,$C$34)*$C$7</f>
        <v>0</v>
      </c>
      <c r="K91" s="123"/>
      <c r="L91" s="13">
        <f>[1]!srRng2E($C$13,L$11-$G91)</f>
        <v>8.1327871650452312</v>
      </c>
      <c r="M91" s="314">
        <f>[2]!e5adE_ICs(L91,$C$14,$C$15,$C$21,$C$25,$C$24,$C$33,$C$34)*$C$7</f>
        <v>0</v>
      </c>
      <c r="N91" s="123"/>
      <c r="O91" s="13">
        <f>[1]!srRng2E($C$13,O$11-$G91)</f>
        <v>8.6538066477669595</v>
      </c>
      <c r="P91" s="314">
        <f>[2]!e5adE_ICs(O91,$C$14,$C$15,$C$21,$C$25,$C$24,$C$33,$C$34)*$C$7</f>
        <v>0</v>
      </c>
      <c r="Q91" s="123"/>
      <c r="R91" s="13">
        <f>[1]!srRng2E($C$13,R$11-$G91)</f>
        <v>9.1673856773080242</v>
      </c>
      <c r="S91" s="314">
        <f>[2]!e5adE_ICs(R91,$C$14,$C$15,$C$21,$C$25,$C$24,$C$33,$C$34)*$C$7</f>
        <v>0</v>
      </c>
      <c r="T91" s="123"/>
      <c r="U91" s="13">
        <f>[1]!srRng2E($C$13,U$11-$G91)</f>
        <v>9.6733520994604731</v>
      </c>
      <c r="V91" s="314">
        <f>[2]!e5adE_ICs(U91,$C$14,$C$15,$C$21,$C$25,$C$24,$C$33,$C$34)*$C$7</f>
        <v>1.0479469508973536</v>
      </c>
      <c r="W91" s="9"/>
    </row>
    <row r="92" spans="2:23">
      <c r="B92" s="9"/>
      <c r="C92" s="164"/>
      <c r="D92" s="9"/>
      <c r="E92" s="51"/>
      <c r="F92" s="320"/>
      <c r="G92" s="46">
        <f t="shared" si="4"/>
        <v>911</v>
      </c>
      <c r="H92" s="46"/>
      <c r="I92" s="13">
        <f>[1]!srRng2E($C$13,I$11-$G92)</f>
        <v>7.4859686047531353</v>
      </c>
      <c r="J92" s="314">
        <f>[2]!e5adE_ICs(I92,$C$14,$C$15,$C$21,$C$25,$C$24,$C$33,$C$34)*$C$7</f>
        <v>0</v>
      </c>
      <c r="K92" s="123"/>
      <c r="L92" s="13">
        <f>[1]!srRng2E($C$13,L$11-$G92)</f>
        <v>8.0261136712749614</v>
      </c>
      <c r="M92" s="314">
        <f>[2]!e5adE_ICs(L92,$C$14,$C$15,$C$21,$C$25,$C$24,$C$33,$C$34)*$C$7</f>
        <v>0</v>
      </c>
      <c r="N92" s="123"/>
      <c r="O92" s="13">
        <f>[1]!srRng2E($C$13,O$11-$G92)</f>
        <v>8.5510908418587466</v>
      </c>
      <c r="P92" s="314">
        <f>[2]!e5adE_ICs(O92,$C$14,$C$15,$C$21,$C$25,$C$24,$C$33,$C$34)*$C$7</f>
        <v>0</v>
      </c>
      <c r="Q92" s="123"/>
      <c r="R92" s="13">
        <f>[1]!srRng2E($C$13,R$11-$G92)</f>
        <v>9.0646698713998113</v>
      </c>
      <c r="S92" s="314">
        <f>[2]!e5adE_ICs(R92,$C$14,$C$15,$C$21,$C$25,$C$24,$C$33,$C$34)*$C$7</f>
        <v>0</v>
      </c>
      <c r="T92" s="123"/>
      <c r="U92" s="13">
        <f>[1]!srRng2E($C$13,U$11-$G92)</f>
        <v>9.5756118539369766</v>
      </c>
      <c r="V92" s="314">
        <f>[2]!e5adE_ICs(U92,$C$14,$C$15,$C$21,$C$25,$C$24,$C$33,$C$34)*$C$7</f>
        <v>0</v>
      </c>
      <c r="W92" s="9"/>
    </row>
    <row r="93" spans="2:23">
      <c r="B93" s="288"/>
      <c r="C93" s="9"/>
      <c r="D93" s="9"/>
      <c r="E93" s="9"/>
      <c r="F93" s="318"/>
      <c r="G93" s="46">
        <f t="shared" si="4"/>
        <v>912</v>
      </c>
      <c r="H93" s="46"/>
      <c r="I93" s="13">
        <f>[1]!srRng2E($C$13,I$11-$G93)</f>
        <v>7.376348329387004</v>
      </c>
      <c r="J93" s="314">
        <f>[2]!e5adE_ICs(I93,$C$14,$C$15,$C$21,$C$25,$C$24,$C$33,$C$34)*$C$7</f>
        <v>0</v>
      </c>
      <c r="K93" s="123"/>
      <c r="L93" s="13">
        <f>[1]!srRng2E($C$13,L$11-$G93)</f>
        <v>7.9194401775046943</v>
      </c>
      <c r="M93" s="314">
        <f>[2]!e5adE_ICs(L93,$C$14,$C$15,$C$21,$C$25,$C$24,$C$33,$C$34)*$C$7</f>
        <v>0</v>
      </c>
      <c r="N93" s="123"/>
      <c r="O93" s="13">
        <f>[1]!srRng2E($C$13,O$11-$G93)</f>
        <v>8.4483750359505336</v>
      </c>
      <c r="P93" s="314">
        <f>[2]!e5adE_ICs(O93,$C$14,$C$15,$C$21,$C$25,$C$24,$C$33,$C$34)*$C$7</f>
        <v>0</v>
      </c>
      <c r="Q93" s="123"/>
      <c r="R93" s="13">
        <f>[1]!srRng2E($C$13,R$11-$G93)</f>
        <v>8.9619540654915983</v>
      </c>
      <c r="S93" s="314">
        <f>[2]!e5adE_ICs(R93,$C$14,$C$15,$C$21,$C$25,$C$24,$C$33,$C$34)*$C$7</f>
        <v>0</v>
      </c>
      <c r="T93" s="123"/>
      <c r="U93" s="13">
        <f>[1]!srRng2E($C$13,U$11-$G93)</f>
        <v>9.4755330950326631</v>
      </c>
      <c r="V93" s="314">
        <f>[2]!e5adE_ICs(U93,$C$14,$C$15,$C$21,$C$25,$C$24,$C$33,$C$34)*$C$7</f>
        <v>0</v>
      </c>
      <c r="W93" s="9"/>
    </row>
    <row r="94" spans="2:23">
      <c r="B94" s="5"/>
      <c r="C94" s="289"/>
      <c r="D94" s="5"/>
      <c r="E94" s="5"/>
      <c r="F94" s="166"/>
      <c r="G94" s="46">
        <f t="shared" si="4"/>
        <v>913</v>
      </c>
      <c r="H94" s="46"/>
      <c r="I94" s="13">
        <f>[1]!srRng2E($C$13,I$11-$G94)</f>
        <v>7.2667280540208719</v>
      </c>
      <c r="J94" s="314">
        <f>[2]!e5adE_ICs(I94,$C$14,$C$15,$C$21,$C$25,$C$24,$C$33,$C$34)*$C$7</f>
        <v>0</v>
      </c>
      <c r="K94" s="123"/>
      <c r="L94" s="13">
        <f>[1]!srRng2E($C$13,L$11-$G94)</f>
        <v>7.8127666837344263</v>
      </c>
      <c r="M94" s="314">
        <f>[2]!e5adE_ICs(L94,$C$14,$C$15,$C$21,$C$25,$C$24,$C$33,$C$34)*$C$7</f>
        <v>0</v>
      </c>
      <c r="N94" s="123"/>
      <c r="O94" s="13">
        <f>[1]!srRng2E($C$13,O$11-$G94)</f>
        <v>8.3456592300423207</v>
      </c>
      <c r="P94" s="314">
        <f>[2]!e5adE_ICs(O94,$C$14,$C$15,$C$21,$C$25,$C$24,$C$33,$C$34)*$C$7</f>
        <v>0</v>
      </c>
      <c r="Q94" s="123"/>
      <c r="R94" s="13">
        <f>[1]!srRng2E($C$13,R$11-$G94)</f>
        <v>8.8592382595833854</v>
      </c>
      <c r="S94" s="314">
        <f>[2]!e5adE_ICs(R94,$C$14,$C$15,$C$21,$C$25,$C$24,$C$33,$C$34)*$C$7</f>
        <v>0</v>
      </c>
      <c r="T94" s="123"/>
      <c r="U94" s="13">
        <f>[1]!srRng2E($C$13,U$11-$G94)</f>
        <v>9.3728172891244501</v>
      </c>
      <c r="V94" s="314">
        <f>[2]!e5adE_ICs(U94,$C$14,$C$15,$C$21,$C$25,$C$24,$C$33,$C$34)*$C$7</f>
        <v>0</v>
      </c>
      <c r="W94" s="9"/>
    </row>
    <row r="95" spans="2:23">
      <c r="B95" s="5"/>
      <c r="C95" s="289"/>
      <c r="D95" s="5"/>
      <c r="E95" s="5"/>
      <c r="F95" s="166"/>
      <c r="G95" s="46">
        <f t="shared" si="4"/>
        <v>914</v>
      </c>
      <c r="H95" s="46"/>
      <c r="I95" s="13">
        <f>[1]!srRng2E($C$13,I$11-$G95)</f>
        <v>7.1571077786547406</v>
      </c>
      <c r="J95" s="314">
        <f>[2]!e5adE_ICs(I95,$C$14,$C$15,$C$21,$C$25,$C$24,$C$33,$C$34)*$C$7</f>
        <v>0</v>
      </c>
      <c r="K95" s="123"/>
      <c r="L95" s="13">
        <f>[1]!srRng2E($C$13,L$11-$G95)</f>
        <v>7.7052091554853988</v>
      </c>
      <c r="M95" s="314">
        <f>[2]!e5adE_ICs(L95,$C$14,$C$15,$C$21,$C$25,$C$24,$C$33,$C$34)*$C$7</f>
        <v>0</v>
      </c>
      <c r="N95" s="123"/>
      <c r="O95" s="13">
        <f>[1]!srRng2E($C$13,O$11-$G95)</f>
        <v>8.2394606588154993</v>
      </c>
      <c r="P95" s="314">
        <f>[2]!e5adE_ICs(O95,$C$14,$C$15,$C$21,$C$25,$C$24,$C$33,$C$34)*$C$7</f>
        <v>0</v>
      </c>
      <c r="Q95" s="123"/>
      <c r="R95" s="13">
        <f>[1]!srRng2E($C$13,R$11-$G95)</f>
        <v>8.7565224536751725</v>
      </c>
      <c r="S95" s="314">
        <f>[2]!e5adE_ICs(R95,$C$14,$C$15,$C$21,$C$25,$C$24,$C$33,$C$34)*$C$7</f>
        <v>0</v>
      </c>
      <c r="T95" s="123"/>
      <c r="U95" s="13">
        <f>[1]!srRng2E($C$13,U$11-$G95)</f>
        <v>9.2701014832162372</v>
      </c>
      <c r="V95" s="314">
        <f>[2]!e5adE_ICs(U95,$C$14,$C$15,$C$21,$C$25,$C$24,$C$33,$C$34)*$C$7</f>
        <v>0</v>
      </c>
      <c r="W95" s="9"/>
    </row>
    <row r="96" spans="2:23">
      <c r="B96" s="5"/>
      <c r="C96" s="289"/>
      <c r="D96" s="9"/>
      <c r="G96" s="46">
        <f t="shared" si="4"/>
        <v>915</v>
      </c>
      <c r="H96" s="46"/>
      <c r="I96" s="13">
        <f>[1]!srRng2E($C$13,I$11-$G96)</f>
        <v>7.0451482479784371</v>
      </c>
      <c r="J96" s="314">
        <f>[2]!e5adE_ICs(I96,$C$14,$C$15,$C$21,$C$25,$C$24,$C$33,$C$34)*$C$7</f>
        <v>0</v>
      </c>
      <c r="K96" s="123"/>
      <c r="L96" s="13">
        <f>[1]!srRng2E($C$13,L$11-$G96)</f>
        <v>7.5955888801192675</v>
      </c>
      <c r="M96" s="314">
        <f>[2]!e5adE_ICs(L96,$C$14,$C$15,$C$21,$C$25,$C$24,$C$33,$C$34)*$C$7</f>
        <v>0</v>
      </c>
      <c r="N96" s="123"/>
      <c r="O96" s="13">
        <f>[1]!srRng2E($C$13,O$11-$G96)</f>
        <v>8.1327871650452312</v>
      </c>
      <c r="P96" s="314">
        <f>[2]!e5adE_ICs(O96,$C$14,$C$15,$C$21,$C$25,$C$24,$C$33,$C$34)*$C$7</f>
        <v>0</v>
      </c>
      <c r="Q96" s="123"/>
      <c r="R96" s="13">
        <f>[1]!srRng2E($C$13,R$11-$G96)</f>
        <v>8.6538066477669595</v>
      </c>
      <c r="S96" s="314">
        <f>[2]!e5adE_ICs(R96,$C$14,$C$15,$C$21,$C$25,$C$24,$C$33,$C$34)*$C$7</f>
        <v>0</v>
      </c>
      <c r="T96" s="123"/>
      <c r="U96" s="13">
        <f>[1]!srRng2E($C$13,U$11-$G96)</f>
        <v>9.1673856773080242</v>
      </c>
      <c r="V96" s="314">
        <f>[2]!e5adE_ICs(U96,$C$14,$C$15,$C$21,$C$25,$C$24,$C$33,$C$34)*$C$7</f>
        <v>0</v>
      </c>
      <c r="W96" s="9"/>
    </row>
    <row r="97" spans="2:27">
      <c r="B97" s="5"/>
      <c r="C97" s="289"/>
      <c r="D97" s="5"/>
      <c r="E97" s="5"/>
      <c r="F97" s="166"/>
      <c r="G97" s="46">
        <f t="shared" si="4"/>
        <v>916</v>
      </c>
      <c r="H97" s="46"/>
      <c r="I97" s="13">
        <f>[1]!srRng2E($C$13,I$11-$G97)</f>
        <v>6.9328391734052115</v>
      </c>
      <c r="J97" s="314">
        <f>[2]!e5adE_ICs(I97,$C$14,$C$15,$C$21,$C$25,$C$24,$C$33,$C$34)*$C$7</f>
        <v>0</v>
      </c>
      <c r="K97" s="123"/>
      <c r="L97" s="13">
        <f>[1]!srRng2E($C$13,L$11-$G97)</f>
        <v>7.4859686047531353</v>
      </c>
      <c r="M97" s="314">
        <f>[2]!e5adE_ICs(L97,$C$14,$C$15,$C$21,$C$25,$C$24,$C$33,$C$34)*$C$7</f>
        <v>0</v>
      </c>
      <c r="N97" s="123"/>
      <c r="O97" s="13">
        <f>[1]!srRng2E($C$13,O$11-$G97)</f>
        <v>8.0261136712749614</v>
      </c>
      <c r="P97" s="314">
        <f>[2]!e5adE_ICs(O97,$C$14,$C$15,$C$21,$C$25,$C$24,$C$33,$C$34)*$C$7</f>
        <v>0</v>
      </c>
      <c r="Q97" s="123"/>
      <c r="R97" s="13">
        <f>[1]!srRng2E($C$13,R$11-$G97)</f>
        <v>8.5510908418587466</v>
      </c>
      <c r="S97" s="314">
        <f>[2]!e5adE_ICs(R97,$C$14,$C$15,$C$21,$C$25,$C$24,$C$33,$C$34)*$C$7</f>
        <v>0</v>
      </c>
      <c r="T97" s="123"/>
      <c r="U97" s="13">
        <f>[1]!srRng2E($C$13,U$11-$G97)</f>
        <v>9.0646698713998113</v>
      </c>
      <c r="V97" s="314">
        <f>[2]!e5adE_ICs(U97,$C$14,$C$15,$C$21,$C$25,$C$24,$C$33,$C$34)*$C$7</f>
        <v>0</v>
      </c>
      <c r="W97" s="9"/>
    </row>
    <row r="98" spans="2:27">
      <c r="B98" s="159"/>
      <c r="C98" s="55"/>
      <c r="D98" s="55"/>
      <c r="E98" s="55"/>
      <c r="F98" s="166"/>
      <c r="G98" s="46">
        <f t="shared" si="4"/>
        <v>917</v>
      </c>
      <c r="H98" s="46"/>
      <c r="I98" s="13">
        <f>[1]!srRng2E($C$13,I$11-$G98)</f>
        <v>6.8205300988319859</v>
      </c>
      <c r="J98" s="314">
        <f>[2]!e5adE_ICs(I98,$C$14,$C$15,$C$21,$C$25,$C$24,$C$33,$C$34)*$C$7</f>
        <v>0</v>
      </c>
      <c r="K98" s="123"/>
      <c r="L98" s="13">
        <f>[1]!srRng2E($C$13,L$11-$G98)</f>
        <v>7.376348329387004</v>
      </c>
      <c r="M98" s="314">
        <f>[2]!e5adE_ICs(L98,$C$14,$C$15,$C$21,$C$25,$C$24,$C$33,$C$34)*$C$7</f>
        <v>0</v>
      </c>
      <c r="N98" s="123"/>
      <c r="O98" s="13">
        <f>[1]!srRng2E($C$13,O$11-$G98)</f>
        <v>7.9194401775046943</v>
      </c>
      <c r="P98" s="314">
        <f>[2]!e5adE_ICs(O98,$C$14,$C$15,$C$21,$C$25,$C$24,$C$33,$C$34)*$C$7</f>
        <v>0</v>
      </c>
      <c r="Q98" s="123"/>
      <c r="R98" s="13">
        <f>[1]!srRng2E($C$13,R$11-$G98)</f>
        <v>8.4483750359505336</v>
      </c>
      <c r="S98" s="314">
        <f>[2]!e5adE_ICs(R98,$C$14,$C$15,$C$21,$C$25,$C$24,$C$33,$C$34)*$C$7</f>
        <v>0</v>
      </c>
      <c r="T98" s="123"/>
      <c r="U98" s="13">
        <f>[1]!srRng2E($C$13,U$11-$G98)</f>
        <v>8.9619540654915983</v>
      </c>
      <c r="V98" s="314">
        <f>[2]!e5adE_ICs(U98,$C$14,$C$15,$C$21,$C$25,$C$24,$C$33,$C$34)*$C$7</f>
        <v>0</v>
      </c>
      <c r="W98" s="9"/>
    </row>
    <row r="99" spans="2:27">
      <c r="B99" s="166"/>
      <c r="C99" s="122"/>
      <c r="D99" s="157"/>
      <c r="E99" s="157"/>
      <c r="F99" s="177"/>
      <c r="G99" s="46">
        <f t="shared" si="4"/>
        <v>918</v>
      </c>
      <c r="H99" s="46"/>
      <c r="I99" s="13">
        <f>[1]!srRng2E($C$13,I$11-$G99)</f>
        <v>6.7082210242587603</v>
      </c>
      <c r="J99" s="314">
        <f>[2]!e5adE_ICs(I99,$C$14,$C$15,$C$21,$C$25,$C$24,$C$33,$C$34)*$C$7</f>
        <v>0</v>
      </c>
      <c r="K99" s="123"/>
      <c r="L99" s="13">
        <f>[1]!srRng2E($C$13,L$11-$G99)</f>
        <v>7.2667280540208719</v>
      </c>
      <c r="M99" s="314">
        <f>[2]!e5adE_ICs(L99,$C$14,$C$15,$C$21,$C$25,$C$24,$C$33,$C$34)*$C$7</f>
        <v>0</v>
      </c>
      <c r="N99" s="123"/>
      <c r="O99" s="13">
        <f>[1]!srRng2E($C$13,O$11-$G99)</f>
        <v>7.8127666837344263</v>
      </c>
      <c r="P99" s="314">
        <f>[2]!e5adE_ICs(O99,$C$14,$C$15,$C$21,$C$25,$C$24,$C$33,$C$34)*$C$7</f>
        <v>0</v>
      </c>
      <c r="Q99" s="123"/>
      <c r="R99" s="13">
        <f>[1]!srRng2E($C$13,R$11-$G99)</f>
        <v>8.3456592300423207</v>
      </c>
      <c r="S99" s="314">
        <f>[2]!e5adE_ICs(R99,$C$14,$C$15,$C$21,$C$25,$C$24,$C$33,$C$34)*$C$7</f>
        <v>0</v>
      </c>
      <c r="T99" s="123"/>
      <c r="U99" s="13">
        <f>[1]!srRng2E($C$13,U$11-$G99)</f>
        <v>8.8592382595833854</v>
      </c>
      <c r="V99" s="314">
        <f>[2]!e5adE_ICs(U99,$C$14,$C$15,$C$21,$C$25,$C$24,$C$33,$C$34)*$C$7</f>
        <v>0</v>
      </c>
      <c r="W99" s="9"/>
    </row>
    <row r="100" spans="2:27">
      <c r="B100" s="288"/>
      <c r="C100" s="55"/>
      <c r="D100" s="65"/>
      <c r="E100" s="65"/>
      <c r="F100" s="321"/>
      <c r="G100" s="46">
        <f t="shared" si="4"/>
        <v>919</v>
      </c>
      <c r="H100" s="46"/>
      <c r="I100" s="13">
        <f>[1]!srRng2E($C$13,I$11-$G100)</f>
        <v>6.5959119496855347</v>
      </c>
      <c r="J100" s="314">
        <f>[2]!e5adE_ICs(I100,$C$14,$C$15,$C$21,$C$25,$C$24,$C$33,$C$34)*$C$7</f>
        <v>0</v>
      </c>
      <c r="K100" s="123"/>
      <c r="L100" s="13">
        <f>[1]!srRng2E($C$13,L$11-$G100)</f>
        <v>7.1571077786547406</v>
      </c>
      <c r="M100" s="314">
        <f>[2]!e5adE_ICs(L100,$C$14,$C$15,$C$21,$C$25,$C$24,$C$33,$C$34)*$C$7</f>
        <v>0</v>
      </c>
      <c r="N100" s="123"/>
      <c r="O100" s="13">
        <f>[1]!srRng2E($C$13,O$11-$G100)</f>
        <v>7.7052091554853988</v>
      </c>
      <c r="P100" s="314">
        <f>[2]!e5adE_ICs(O100,$C$14,$C$15,$C$21,$C$25,$C$24,$C$33,$C$34)*$C$7</f>
        <v>0</v>
      </c>
      <c r="Q100" s="123"/>
      <c r="R100" s="13">
        <f>[1]!srRng2E($C$13,R$11-$G100)</f>
        <v>8.2394606588154993</v>
      </c>
      <c r="S100" s="314">
        <f>[2]!e5adE_ICs(R100,$C$14,$C$15,$C$21,$C$25,$C$24,$C$33,$C$34)*$C$7</f>
        <v>0</v>
      </c>
      <c r="T100" s="123"/>
      <c r="U100" s="13">
        <f>[1]!srRng2E($C$13,U$11-$G100)</f>
        <v>8.7565224536751725</v>
      </c>
      <c r="V100" s="314">
        <f>[2]!e5adE_ICs(U100,$C$14,$C$15,$C$21,$C$25,$C$24,$C$33,$C$34)*$C$7</f>
        <v>0</v>
      </c>
      <c r="W100" s="9"/>
    </row>
    <row r="101" spans="2:27" ht="12.75" customHeight="1">
      <c r="B101" s="290"/>
      <c r="C101" s="122"/>
      <c r="D101" s="129"/>
      <c r="E101" s="129"/>
      <c r="F101" s="322"/>
      <c r="G101" s="46">
        <f t="shared" si="4"/>
        <v>920</v>
      </c>
      <c r="H101" s="46"/>
      <c r="I101" s="13">
        <f>[1]!srRng2E($C$13,I$11-$G101)</f>
        <v>6.4819931841208431</v>
      </c>
      <c r="J101" s="314">
        <f>[2]!e5adE_ICs(I101,$C$14,$C$15,$C$21,$C$25,$C$24,$C$33,$C$34)*$C$7</f>
        <v>0</v>
      </c>
      <c r="K101" s="123"/>
      <c r="L101" s="13">
        <f>[1]!srRng2E($C$13,L$11-$G101)</f>
        <v>7.0451482479784371</v>
      </c>
      <c r="M101" s="314">
        <f>[2]!e5adE_ICs(L101,$C$14,$C$15,$C$21,$C$25,$C$24,$C$33,$C$34)*$C$7</f>
        <v>0</v>
      </c>
      <c r="N101" s="123"/>
      <c r="O101" s="13">
        <f>[1]!srRng2E($C$13,O$11-$G101)</f>
        <v>7.5955888801192675</v>
      </c>
      <c r="P101" s="314">
        <f>[2]!e5adE_ICs(O101,$C$14,$C$15,$C$21,$C$25,$C$24,$C$33,$C$34)*$C$7</f>
        <v>0</v>
      </c>
      <c r="Q101" s="123"/>
      <c r="R101" s="13">
        <f>[1]!srRng2E($C$13,R$11-$G101)</f>
        <v>8.1327871650452312</v>
      </c>
      <c r="S101" s="314">
        <f>[2]!e5adE_ICs(R101,$C$14,$C$15,$C$21,$C$25,$C$24,$C$33,$C$34)*$C$7</f>
        <v>0</v>
      </c>
      <c r="T101" s="123"/>
      <c r="U101" s="13">
        <f>[1]!srRng2E($C$13,U$11-$G101)</f>
        <v>8.6538066477669595</v>
      </c>
      <c r="V101" s="314">
        <f>[2]!e5adE_ICs(U101,$C$14,$C$15,$C$21,$C$25,$C$24,$C$33,$C$34)*$C$7</f>
        <v>0</v>
      </c>
      <c r="W101" s="9"/>
    </row>
    <row r="102" spans="2:27">
      <c r="B102" s="9"/>
      <c r="C102" s="9"/>
      <c r="D102" s="9"/>
      <c r="G102" s="46">
        <f t="shared" si="4"/>
        <v>921</v>
      </c>
      <c r="H102" s="46"/>
      <c r="I102" s="13">
        <f>[1]!srRng2E($C$13,I$11-$G102)</f>
        <v>6.3668600902643453</v>
      </c>
      <c r="J102" s="314">
        <f>[2]!e5adE_ICs(I102,$C$14,$C$15,$C$21,$C$25,$C$24,$C$33,$C$34)*$C$7</f>
        <v>0</v>
      </c>
      <c r="K102" s="123"/>
      <c r="L102" s="13">
        <f>[1]!srRng2E($C$13,L$11-$G102)</f>
        <v>6.9328391734052115</v>
      </c>
      <c r="M102" s="314">
        <f>[2]!e5adE_ICs(L102,$C$14,$C$15,$C$21,$C$25,$C$24,$C$33,$C$34)*$C$7</f>
        <v>0</v>
      </c>
      <c r="N102" s="123"/>
      <c r="O102" s="13">
        <f>[1]!srRng2E($C$13,O$11-$G102)</f>
        <v>7.4859686047531353</v>
      </c>
      <c r="P102" s="314">
        <f>[2]!e5adE_ICs(O102,$C$14,$C$15,$C$21,$C$25,$C$24,$C$33,$C$34)*$C$7</f>
        <v>0</v>
      </c>
      <c r="Q102" s="123"/>
      <c r="R102" s="13">
        <f>[1]!srRng2E($C$13,R$11-$G102)</f>
        <v>8.0261136712749614</v>
      </c>
      <c r="S102" s="314">
        <f>[2]!e5adE_ICs(R102,$C$14,$C$15,$C$21,$C$25,$C$24,$C$33,$C$34)*$C$7</f>
        <v>0</v>
      </c>
      <c r="T102" s="123"/>
      <c r="U102" s="13">
        <f>[1]!srRng2E($C$13,U$11-$G102)</f>
        <v>8.5510908418587466</v>
      </c>
      <c r="V102" s="314">
        <f>[2]!e5adE_ICs(U102,$C$14,$C$15,$C$21,$C$25,$C$24,$C$33,$C$34)*$C$7</f>
        <v>0</v>
      </c>
      <c r="W102" s="9"/>
    </row>
    <row r="103" spans="2:27">
      <c r="B103" s="288"/>
      <c r="C103" s="288"/>
      <c r="D103" s="288"/>
      <c r="E103" s="17"/>
      <c r="F103" s="7"/>
      <c r="G103" s="46">
        <f t="shared" si="4"/>
        <v>922</v>
      </c>
      <c r="H103" s="46"/>
      <c r="I103" s="13">
        <f>[1]!srRng2E($C$13,I$11-$G103)</f>
        <v>6.2517269964078475</v>
      </c>
      <c r="J103" s="314">
        <f>[2]!e5adE_ICs(I103,$C$14,$C$15,$C$21,$C$25,$C$24,$C$33,$C$34)*$C$7</f>
        <v>0</v>
      </c>
      <c r="K103" s="123"/>
      <c r="L103" s="13">
        <f>[1]!srRng2E($C$13,L$11-$G103)</f>
        <v>6.8205300988319859</v>
      </c>
      <c r="M103" s="314">
        <f>[2]!e5adE_ICs(L103,$C$14,$C$15,$C$21,$C$25,$C$24,$C$33,$C$34)*$C$7</f>
        <v>0</v>
      </c>
      <c r="N103" s="123"/>
      <c r="O103" s="13">
        <f>[1]!srRng2E($C$13,O$11-$G103)</f>
        <v>7.376348329387004</v>
      </c>
      <c r="P103" s="314">
        <f>[2]!e5adE_ICs(O103,$C$14,$C$15,$C$21,$C$25,$C$24,$C$33,$C$34)*$C$7</f>
        <v>0</v>
      </c>
      <c r="Q103" s="123"/>
      <c r="R103" s="13">
        <f>[1]!srRng2E($C$13,R$11-$G103)</f>
        <v>7.9194401775046943</v>
      </c>
      <c r="S103" s="314">
        <f>[2]!e5adE_ICs(R103,$C$14,$C$15,$C$21,$C$25,$C$24,$C$33,$C$34)*$C$7</f>
        <v>0</v>
      </c>
      <c r="T103" s="123"/>
      <c r="U103" s="13">
        <f>[1]!srRng2E($C$13,U$11-$G103)</f>
        <v>8.4483750359505336</v>
      </c>
      <c r="V103" s="314">
        <f>[2]!e5adE_ICs(U103,$C$14,$C$15,$C$21,$C$25,$C$24,$C$33,$C$34)*$C$7</f>
        <v>0</v>
      </c>
      <c r="W103" s="9"/>
    </row>
    <row r="104" spans="2:27">
      <c r="B104" s="177"/>
      <c r="C104" s="6"/>
      <c r="D104" s="288"/>
      <c r="E104" s="17"/>
      <c r="F104" s="7"/>
      <c r="G104" s="46">
        <f t="shared" si="4"/>
        <v>923</v>
      </c>
      <c r="H104" s="46"/>
      <c r="I104" s="13">
        <f>[1]!srRng2E($C$13,I$11-$G104)</f>
        <v>6.1365939025513496</v>
      </c>
      <c r="J104" s="314">
        <f>[2]!e5adE_ICs(I104,$C$14,$C$15,$C$21,$C$25,$C$24,$C$33,$C$34)*$C$7</f>
        <v>0</v>
      </c>
      <c r="K104" s="123"/>
      <c r="L104" s="13">
        <f>[1]!srRng2E($C$13,L$11-$G104)</f>
        <v>6.7082210242587603</v>
      </c>
      <c r="M104" s="314">
        <f>[2]!e5adE_ICs(L104,$C$14,$C$15,$C$21,$C$25,$C$24,$C$33,$C$34)*$C$7</f>
        <v>0</v>
      </c>
      <c r="N104" s="123"/>
      <c r="O104" s="13">
        <f>[1]!srRng2E($C$13,O$11-$G104)</f>
        <v>7.2667280540208719</v>
      </c>
      <c r="P104" s="314">
        <f>[2]!e5adE_ICs(O104,$C$14,$C$15,$C$21,$C$25,$C$24,$C$33,$C$34)*$C$7</f>
        <v>0</v>
      </c>
      <c r="Q104" s="123"/>
      <c r="R104" s="13">
        <f>[1]!srRng2E($C$13,R$11-$G104)</f>
        <v>7.8127666837344263</v>
      </c>
      <c r="S104" s="314">
        <f>[2]!e5adE_ICs(R104,$C$14,$C$15,$C$21,$C$25,$C$24,$C$33,$C$34)*$C$7</f>
        <v>0</v>
      </c>
      <c r="T104" s="123"/>
      <c r="U104" s="13">
        <f>[1]!srRng2E($C$13,U$11-$G104)</f>
        <v>8.3456592300423207</v>
      </c>
      <c r="V104" s="314">
        <f>[2]!e5adE_ICs(U104,$C$14,$C$15,$C$21,$C$25,$C$24,$C$33,$C$34)*$C$7</f>
        <v>0</v>
      </c>
      <c r="W104" s="9"/>
    </row>
    <row r="105" spans="2:27">
      <c r="B105" s="291"/>
      <c r="C105" s="292"/>
      <c r="D105" s="293"/>
      <c r="E105" s="227"/>
      <c r="F105" s="331"/>
      <c r="G105" s="324"/>
      <c r="H105" s="333" t="s">
        <v>165</v>
      </c>
      <c r="I105" s="325"/>
      <c r="J105" s="326"/>
      <c r="K105" s="327"/>
      <c r="L105" s="325"/>
      <c r="M105" s="326"/>
      <c r="N105" s="327"/>
      <c r="O105" s="325"/>
      <c r="P105" s="326"/>
      <c r="Q105" s="327"/>
      <c r="R105" s="325"/>
      <c r="S105" s="326"/>
      <c r="T105" s="327"/>
      <c r="U105" s="325"/>
      <c r="V105" s="326"/>
    </row>
    <row r="106" spans="2:27">
      <c r="B106" s="9"/>
      <c r="C106" s="9"/>
      <c r="D106" s="9"/>
    </row>
    <row r="109" spans="2:27">
      <c r="G109" s="255"/>
      <c r="H109" s="255"/>
      <c r="I109" s="227"/>
      <c r="J109" s="45"/>
      <c r="K109" s="45"/>
      <c r="L109" s="227"/>
      <c r="M109" s="45"/>
      <c r="N109" s="45"/>
      <c r="O109" s="227"/>
      <c r="P109" s="45"/>
      <c r="Q109" s="45"/>
      <c r="R109" s="227"/>
      <c r="S109" s="45"/>
      <c r="T109" s="45"/>
      <c r="U109" s="227"/>
      <c r="V109" s="45"/>
      <c r="W109" s="45"/>
    </row>
    <row r="110" spans="2:27">
      <c r="G110" s="17"/>
      <c r="H110" s="17"/>
      <c r="I110" s="55"/>
      <c r="J110" s="45"/>
      <c r="K110" s="45"/>
      <c r="L110" s="55"/>
      <c r="M110" s="45"/>
      <c r="N110" s="45"/>
      <c r="O110" s="55"/>
      <c r="P110" s="45"/>
      <c r="Q110" s="45"/>
      <c r="R110" s="55"/>
      <c r="S110" s="45"/>
      <c r="T110" s="45"/>
      <c r="U110" s="55"/>
      <c r="V110" s="45"/>
      <c r="W110" s="45"/>
    </row>
    <row r="111" spans="2:27" s="10" customFormat="1">
      <c r="F111" s="323"/>
      <c r="G111" s="256"/>
      <c r="H111" s="256"/>
      <c r="I111" s="256"/>
      <c r="J111" s="45"/>
      <c r="K111" s="45"/>
      <c r="L111" s="256"/>
      <c r="M111" s="45"/>
      <c r="N111" s="45"/>
      <c r="O111" s="256"/>
      <c r="P111" s="45"/>
      <c r="Q111" s="45"/>
      <c r="R111" s="256"/>
      <c r="S111" s="45"/>
      <c r="T111" s="45"/>
      <c r="U111" s="256"/>
      <c r="V111" s="45"/>
      <c r="W111" s="45"/>
      <c r="X111" s="49"/>
      <c r="Y111" s="49"/>
      <c r="Z111" s="49"/>
      <c r="AA111" s="49"/>
    </row>
    <row r="112" spans="2:27" s="10" customFormat="1">
      <c r="F112" s="323"/>
      <c r="G112" s="7"/>
      <c r="H112" s="7"/>
      <c r="I112" s="258"/>
      <c r="J112" s="45"/>
      <c r="K112" s="45"/>
      <c r="L112" s="258"/>
      <c r="M112" s="45"/>
      <c r="N112" s="45"/>
      <c r="O112" s="258"/>
      <c r="P112" s="45"/>
      <c r="Q112" s="45"/>
      <c r="R112" s="258"/>
      <c r="S112" s="45"/>
      <c r="T112" s="45"/>
      <c r="U112" s="258"/>
      <c r="V112" s="45"/>
      <c r="W112" s="45"/>
      <c r="X112" s="49"/>
      <c r="Y112" s="49"/>
      <c r="Z112" s="49"/>
      <c r="AA112" s="49"/>
    </row>
    <row r="113" spans="2:27" s="10" customFormat="1">
      <c r="F113" s="323"/>
      <c r="G113" s="7"/>
      <c r="H113" s="7"/>
      <c r="I113" s="258"/>
      <c r="J113" s="45"/>
      <c r="K113" s="45"/>
      <c r="L113" s="258"/>
      <c r="M113" s="45"/>
      <c r="N113" s="45"/>
      <c r="O113" s="258"/>
      <c r="P113" s="45"/>
      <c r="Q113" s="45"/>
      <c r="R113" s="258"/>
      <c r="S113" s="45"/>
      <c r="T113" s="45"/>
      <c r="U113" s="258"/>
      <c r="V113" s="45"/>
      <c r="W113" s="45"/>
      <c r="X113" s="49"/>
      <c r="Y113" s="49"/>
      <c r="Z113" s="49"/>
      <c r="AA113" s="49"/>
    </row>
    <row r="114" spans="2:27" s="10" customFormat="1">
      <c r="F114" s="323"/>
      <c r="G114" s="9"/>
      <c r="H114" s="9"/>
      <c r="I114" s="188"/>
      <c r="J114" s="45"/>
      <c r="K114" s="45"/>
      <c r="L114" s="188"/>
      <c r="M114" s="45"/>
      <c r="N114" s="45"/>
      <c r="O114" s="188"/>
      <c r="P114" s="45"/>
      <c r="Q114" s="45"/>
      <c r="R114" s="188"/>
      <c r="S114" s="45"/>
      <c r="T114" s="45"/>
      <c r="U114" s="188"/>
      <c r="V114" s="45"/>
      <c r="W114" s="45"/>
      <c r="X114" s="49"/>
      <c r="Y114" s="49"/>
      <c r="Z114" s="49"/>
      <c r="AA114" s="49"/>
    </row>
    <row r="115" spans="2:27" s="10" customFormat="1">
      <c r="F115" s="323"/>
      <c r="G115" s="9"/>
      <c r="H115" s="9"/>
      <c r="I115" s="188"/>
      <c r="J115" s="45"/>
      <c r="K115" s="45"/>
      <c r="L115" s="188"/>
      <c r="M115" s="45"/>
      <c r="N115" s="45"/>
      <c r="O115" s="188"/>
      <c r="P115" s="45"/>
      <c r="Q115" s="45"/>
      <c r="R115" s="188"/>
      <c r="S115" s="45"/>
      <c r="T115" s="45"/>
      <c r="U115" s="188"/>
      <c r="V115" s="45"/>
      <c r="W115" s="45"/>
      <c r="X115" s="49"/>
      <c r="Y115" s="49"/>
      <c r="Z115" s="49"/>
      <c r="AA115" s="49"/>
    </row>
    <row r="116" spans="2:27" s="10" customFormat="1">
      <c r="F116" s="323"/>
      <c r="G116" s="9"/>
      <c r="H116" s="9"/>
      <c r="I116" s="188"/>
      <c r="J116" s="45"/>
      <c r="K116" s="45"/>
      <c r="L116" s="188"/>
      <c r="M116" s="45"/>
      <c r="N116" s="45"/>
      <c r="O116" s="188"/>
      <c r="P116" s="45"/>
      <c r="Q116" s="45"/>
      <c r="R116" s="188"/>
      <c r="S116" s="45"/>
      <c r="T116" s="45"/>
      <c r="U116" s="188"/>
      <c r="V116" s="45"/>
      <c r="W116" s="45"/>
      <c r="X116" s="49"/>
      <c r="Y116" s="49"/>
      <c r="Z116" s="49"/>
      <c r="AA116" s="49"/>
    </row>
    <row r="117" spans="2:27" s="10" customFormat="1">
      <c r="F117" s="323"/>
      <c r="G117" s="9"/>
      <c r="H117" s="9"/>
      <c r="I117" s="188"/>
      <c r="J117" s="45"/>
      <c r="K117" s="45"/>
      <c r="L117" s="188"/>
      <c r="M117" s="45"/>
      <c r="N117" s="45"/>
      <c r="O117" s="188"/>
      <c r="P117" s="45"/>
      <c r="Q117" s="45"/>
      <c r="R117" s="188"/>
      <c r="S117" s="45"/>
      <c r="T117" s="45"/>
      <c r="U117" s="188"/>
      <c r="V117" s="45"/>
      <c r="W117" s="45"/>
      <c r="X117" s="49"/>
      <c r="Y117" s="49"/>
      <c r="Z117" s="49"/>
      <c r="AA117" s="49"/>
    </row>
    <row r="118" spans="2:27" s="10" customFormat="1">
      <c r="F118" s="323"/>
      <c r="G118" s="9"/>
      <c r="H118" s="9"/>
      <c r="I118" s="188"/>
      <c r="J118" s="45"/>
      <c r="K118" s="45"/>
      <c r="L118" s="188"/>
      <c r="M118" s="45"/>
      <c r="N118" s="45"/>
      <c r="O118" s="188"/>
      <c r="P118" s="45"/>
      <c r="Q118" s="45"/>
      <c r="R118" s="188"/>
      <c r="S118" s="45"/>
      <c r="T118" s="45"/>
      <c r="U118" s="188"/>
      <c r="V118" s="45"/>
      <c r="W118" s="45"/>
      <c r="X118" s="49"/>
      <c r="Y118" s="49"/>
      <c r="Z118" s="49"/>
      <c r="AA118" s="49"/>
    </row>
    <row r="119" spans="2:27" s="10" customFormat="1">
      <c r="F119" s="323"/>
      <c r="G119" s="9"/>
      <c r="H119" s="9"/>
      <c r="I119" s="188"/>
      <c r="J119" s="45"/>
      <c r="K119" s="45"/>
      <c r="L119" s="188"/>
      <c r="M119" s="45"/>
      <c r="N119" s="45"/>
      <c r="O119" s="188"/>
      <c r="P119" s="45"/>
      <c r="Q119" s="45"/>
      <c r="R119" s="188"/>
      <c r="S119" s="45"/>
      <c r="T119" s="45"/>
      <c r="U119" s="188"/>
      <c r="V119" s="45"/>
      <c r="W119" s="45"/>
      <c r="X119" s="49"/>
      <c r="Y119" s="49"/>
      <c r="Z119" s="49"/>
      <c r="AA119" s="49"/>
    </row>
    <row r="120" spans="2:27" s="10" customFormat="1">
      <c r="F120" s="323"/>
      <c r="G120" s="9"/>
      <c r="H120" s="9"/>
      <c r="I120" s="188"/>
      <c r="J120" s="45"/>
      <c r="K120" s="45"/>
      <c r="L120" s="188"/>
      <c r="M120" s="45"/>
      <c r="N120" s="45"/>
      <c r="O120" s="188"/>
      <c r="P120" s="45"/>
      <c r="Q120" s="45"/>
      <c r="R120" s="188"/>
      <c r="S120" s="45"/>
      <c r="T120" s="45"/>
      <c r="U120" s="188"/>
      <c r="V120" s="45"/>
      <c r="W120" s="45"/>
      <c r="X120" s="49"/>
      <c r="Y120" s="49"/>
      <c r="Z120" s="49"/>
      <c r="AA120" s="49"/>
    </row>
    <row r="121" spans="2:27" s="10" customFormat="1">
      <c r="F121" s="323"/>
      <c r="G121" s="9"/>
      <c r="H121" s="9"/>
      <c r="I121" s="188"/>
      <c r="J121" s="45"/>
      <c r="K121" s="45"/>
      <c r="L121" s="188"/>
      <c r="M121" s="45"/>
      <c r="N121" s="45"/>
      <c r="O121" s="188"/>
      <c r="P121" s="45"/>
      <c r="Q121" s="45"/>
      <c r="R121" s="188"/>
      <c r="S121" s="45"/>
      <c r="T121" s="45"/>
      <c r="U121" s="188"/>
      <c r="V121" s="45"/>
      <c r="W121" s="45"/>
      <c r="X121" s="49"/>
      <c r="Y121" s="49"/>
      <c r="Z121" s="49"/>
      <c r="AA121" s="49"/>
    </row>
    <row r="122" spans="2:27" s="10" customFormat="1">
      <c r="F122" s="323"/>
      <c r="G122" s="9"/>
      <c r="H122" s="9"/>
      <c r="I122" s="188"/>
      <c r="J122" s="45"/>
      <c r="K122" s="45"/>
      <c r="L122" s="188"/>
      <c r="M122" s="45"/>
      <c r="N122" s="45"/>
      <c r="O122" s="188"/>
      <c r="P122" s="45"/>
      <c r="Q122" s="45"/>
      <c r="R122" s="188"/>
      <c r="S122" s="45"/>
      <c r="T122" s="45"/>
      <c r="U122" s="188"/>
      <c r="V122" s="45"/>
      <c r="W122" s="45"/>
      <c r="X122" s="49"/>
      <c r="Y122" s="49"/>
      <c r="Z122" s="49"/>
      <c r="AA122" s="49"/>
    </row>
    <row r="123" spans="2:27" s="10" customFormat="1">
      <c r="F123" s="323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9"/>
      <c r="Y123" s="49"/>
      <c r="Z123" s="49"/>
      <c r="AA123" s="49"/>
    </row>
    <row r="124" spans="2:27"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</row>
    <row r="125" spans="2:27"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</row>
    <row r="126" spans="2:27" s="10" customFormat="1">
      <c r="B126" s="49"/>
      <c r="C126" s="49"/>
      <c r="D126" s="49"/>
      <c r="E126" s="49"/>
      <c r="F126" s="300"/>
      <c r="G126" s="45"/>
      <c r="H126" s="45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</row>
  </sheetData>
  <phoneticPr fontId="25"/>
  <pageMargins left="0.23622047244094491" right="0.23622047244094491" top="0.35433070866141736" bottom="0.35433070866141736" header="0.19685039370078741" footer="0.19685039370078741"/>
  <pageSetup paperSize="9" scale="70" fitToHeight="0" orientation="landscape" r:id="rId1"/>
  <headerFooter>
    <oddHeader>&amp;L&amp;F&amp;A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2FA9C-6CCE-4969-BF2A-3D37CF2B2661}">
  <sheetPr codeName="Sheet13"/>
  <dimension ref="B1:CH126"/>
  <sheetViews>
    <sheetView tabSelected="1" zoomScale="80" zoomScaleNormal="80" workbookViewId="0">
      <pane xSplit="37870" topLeftCell="BO1"/>
      <selection activeCell="AP103" sqref="AP103"/>
      <selection pane="topRight" activeCell="BR17" sqref="BR17"/>
    </sheetView>
  </sheetViews>
  <sheetFormatPr defaultColWidth="9" defaultRowHeight="13"/>
  <cols>
    <col min="1" max="1" width="2.36328125" style="49" customWidth="1"/>
    <col min="2" max="2" width="7.7265625" style="49" customWidth="1"/>
    <col min="3" max="3" width="9.08984375" style="49" customWidth="1"/>
    <col min="4" max="4" width="8.08984375" style="49" customWidth="1"/>
    <col min="5" max="5" width="2.6328125" style="49" customWidth="1"/>
    <col min="6" max="6" width="5.90625" style="49" customWidth="1"/>
    <col min="7" max="7" width="13.453125" style="10" customWidth="1"/>
    <col min="8" max="8" width="4.7265625" style="10" customWidth="1"/>
    <col min="9" max="9" width="1.453125" style="10" customWidth="1"/>
    <col min="10" max="21" width="1.36328125" style="49" customWidth="1"/>
    <col min="22" max="22" width="6.453125" style="49" customWidth="1"/>
    <col min="23" max="23" width="1.36328125" style="49" customWidth="1"/>
    <col min="24" max="24" width="3.7265625" style="49" customWidth="1"/>
    <col min="25" max="28" width="7.453125" style="49" customWidth="1"/>
    <col min="29" max="29" width="5.7265625" style="49" customWidth="1"/>
    <col min="30" max="30" width="6.453125" style="49" customWidth="1"/>
    <col min="31" max="31" width="1.453125" style="49" customWidth="1"/>
    <col min="32" max="32" width="6.08984375" style="49" customWidth="1"/>
    <col min="33" max="33" width="5" style="49" customWidth="1"/>
    <col min="34" max="35" width="5.90625" style="49" customWidth="1"/>
    <col min="36" max="36" width="6.08984375" style="49" customWidth="1"/>
    <col min="37" max="38" width="5.90625" style="10" customWidth="1"/>
    <col min="39" max="42" width="5.90625" style="49" customWidth="1"/>
    <col min="43" max="43" width="7.6328125" style="49" customWidth="1"/>
    <col min="44" max="45" width="5.90625" style="49" customWidth="1"/>
    <col min="46" max="46" width="7.6328125" style="49" customWidth="1"/>
    <col min="47" max="47" width="6.453125" style="49" customWidth="1"/>
    <col min="48" max="48" width="5.90625" style="49" customWidth="1"/>
    <col min="49" max="49" width="5.90625" style="10" customWidth="1"/>
    <col min="50" max="50" width="1.08984375" style="49" customWidth="1"/>
    <col min="51" max="51" width="1.7265625" style="49" customWidth="1"/>
    <col min="52" max="52" width="6.26953125" style="49" customWidth="1"/>
    <col min="53" max="53" width="6" style="49" customWidth="1"/>
    <col min="54" max="54" width="6.36328125" style="10" customWidth="1"/>
    <col min="55" max="57" width="6.36328125" style="49" customWidth="1"/>
    <col min="58" max="58" width="5.7265625" style="10" customWidth="1"/>
    <col min="59" max="59" width="2.6328125" style="49" customWidth="1"/>
    <col min="60" max="60" width="6.08984375" style="49" customWidth="1"/>
    <col min="61" max="61" width="5.7265625" style="49" customWidth="1"/>
    <col min="62" max="62" width="6.08984375" style="10" customWidth="1"/>
    <col min="63" max="63" width="2.6328125" style="49" customWidth="1"/>
    <col min="64" max="64" width="6.6328125" style="49" customWidth="1"/>
    <col min="65" max="65" width="5.6328125" style="49" customWidth="1"/>
    <col min="66" max="66" width="5.90625" style="10" customWidth="1"/>
    <col min="67" max="67" width="2.08984375" style="49" customWidth="1"/>
    <col min="68" max="72" width="4.90625" style="49" customWidth="1"/>
    <col min="73" max="73" width="1.453125" style="49" customWidth="1"/>
    <col min="74" max="78" width="4.90625" style="49" customWidth="1"/>
    <col min="79" max="79" width="2.6328125" style="49" customWidth="1"/>
    <col min="80" max="16384" width="9" style="49"/>
  </cols>
  <sheetData>
    <row r="1" spans="2:86" s="147" customFormat="1" ht="11">
      <c r="V1" s="148"/>
      <c r="W1" s="146"/>
      <c r="AJ1" s="148"/>
      <c r="AT1" s="148"/>
      <c r="AU1" s="148"/>
      <c r="AV1" s="148"/>
      <c r="BB1" s="148"/>
      <c r="BH1" s="148"/>
      <c r="BM1" s="148"/>
      <c r="BY1" s="148"/>
    </row>
    <row r="2" spans="2:86" ht="19">
      <c r="B2" s="136" t="str">
        <f>WBtitle</f>
        <v>2018.07 Kr照射</v>
      </c>
      <c r="G2" s="49"/>
      <c r="H2" s="49"/>
      <c r="I2" s="49"/>
      <c r="V2" s="135"/>
      <c r="W2" s="134"/>
      <c r="AH2" s="145"/>
      <c r="AI2" s="10"/>
      <c r="AJ2" s="133"/>
      <c r="AK2" s="42"/>
      <c r="AL2" s="49"/>
      <c r="AT2" s="133"/>
      <c r="AU2" s="133"/>
      <c r="AV2" s="133"/>
      <c r="AW2" s="49"/>
      <c r="AZ2" s="136" t="str">
        <f>WBtitle</f>
        <v>2018.07 Kr照射</v>
      </c>
      <c r="BB2" s="133"/>
      <c r="BE2" s="10"/>
      <c r="BH2" s="133"/>
      <c r="BK2" s="10"/>
      <c r="BM2" s="133"/>
      <c r="BN2" s="147"/>
      <c r="BQ2" s="10"/>
      <c r="BR2" s="10"/>
      <c r="BT2" s="132"/>
      <c r="BV2" s="10"/>
      <c r="BW2" s="10"/>
      <c r="BY2" s="133"/>
      <c r="CB2" s="149"/>
    </row>
    <row r="3" spans="2:86" s="114" customFormat="1" ht="19">
      <c r="B3" s="115"/>
      <c r="C3" s="116" t="s">
        <v>267</v>
      </c>
      <c r="D3" s="117"/>
      <c r="E3" s="117"/>
      <c r="F3" s="117"/>
      <c r="G3" s="294"/>
      <c r="H3" s="294" t="str">
        <f>$D$7</f>
        <v>Kr</v>
      </c>
      <c r="I3" s="119"/>
      <c r="J3" s="119"/>
      <c r="K3" s="119"/>
      <c r="L3" s="120"/>
      <c r="M3" s="120"/>
      <c r="N3" s="120"/>
      <c r="O3" s="120"/>
      <c r="P3" s="120"/>
      <c r="Q3" s="120"/>
      <c r="R3" s="120"/>
      <c r="S3" s="180"/>
      <c r="T3" s="180"/>
      <c r="U3" s="180"/>
      <c r="V3" s="181"/>
      <c r="W3" s="261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2"/>
      <c r="AJ3" s="183"/>
      <c r="AK3" s="184"/>
      <c r="AL3" s="180"/>
      <c r="AM3" s="180"/>
      <c r="AN3" s="118"/>
      <c r="AO3" s="180"/>
      <c r="AP3" s="180"/>
      <c r="AQ3" s="180"/>
      <c r="AR3" s="180"/>
      <c r="AS3" s="180"/>
      <c r="AT3" s="183"/>
      <c r="AU3" s="183"/>
      <c r="AV3" s="183"/>
      <c r="AW3" s="180"/>
      <c r="AX3" s="118"/>
      <c r="AY3" s="180"/>
      <c r="AZ3" s="180"/>
      <c r="BA3" s="116" t="str">
        <f>$C3</f>
        <v>scnEDic 解析</v>
      </c>
      <c r="BB3" s="183"/>
      <c r="BC3" s="180"/>
      <c r="BD3" s="180"/>
      <c r="BE3" s="294"/>
      <c r="BF3" s="182"/>
      <c r="BG3" s="180"/>
      <c r="BH3" s="294" t="str">
        <f>$D$7</f>
        <v>Kr</v>
      </c>
      <c r="BI3" s="180"/>
      <c r="BJ3" s="182"/>
      <c r="BK3" s="182"/>
      <c r="BL3" s="180"/>
      <c r="BM3" s="183"/>
      <c r="BN3" s="180"/>
      <c r="BO3" s="180"/>
      <c r="BP3" s="180"/>
      <c r="BQ3" s="182"/>
      <c r="BR3" s="182"/>
      <c r="BS3" s="180"/>
      <c r="BT3" s="185"/>
      <c r="BU3" s="180"/>
      <c r="BV3" s="182"/>
      <c r="BW3" s="182"/>
      <c r="BX3" s="180"/>
      <c r="BY3" s="183"/>
      <c r="BZ3" s="180"/>
      <c r="CA3" s="180"/>
      <c r="CB3" s="180"/>
      <c r="CC3" s="181"/>
      <c r="CD3" s="262"/>
      <c r="CE3" s="180"/>
      <c r="CF3" s="118"/>
      <c r="CG3" s="180"/>
      <c r="CH3" s="180"/>
    </row>
    <row r="4" spans="2:86">
      <c r="G4" s="49"/>
      <c r="H4" s="49"/>
      <c r="I4" s="49"/>
      <c r="Z4" s="7" t="s">
        <v>230</v>
      </c>
      <c r="AA4" s="430">
        <f>COLUMN()</f>
        <v>27</v>
      </c>
      <c r="AC4" s="200"/>
      <c r="AH4" s="7" t="s">
        <v>112</v>
      </c>
      <c r="AI4" s="433" t="str">
        <f>ADDRESS($AI$5,COLUMN(),4)&amp;":"&amp;ADDRESS($AI$6,COLUMN(),4)</f>
        <v>AI15:AI52</v>
      </c>
      <c r="AM4" s="9"/>
      <c r="AN4" s="9"/>
      <c r="AO4" s="7" t="s">
        <v>112</v>
      </c>
      <c r="AP4" s="435" t="str">
        <f>ADDRESS($AI$5,COLUMN(),4)&amp;":"&amp;ADDRESS($AI$6,COLUMN(),4)</f>
        <v>AP15:AP52</v>
      </c>
      <c r="AQ4" s="434" t="str">
        <f>ADDRESS($AI$5,$AA4,4)&amp;":"&amp;ADDRESS($AI$6,$AA4,4)</f>
        <v>AA15:AA52</v>
      </c>
      <c r="AR4" s="434"/>
      <c r="AS4" s="434"/>
      <c r="AT4" s="434" t="str">
        <f>ADDRESS($AI$5,COLUMN(),4)&amp;":"&amp;ADDRESS($AI$6,COLUMN(),4)</f>
        <v>AT15:AT52</v>
      </c>
      <c r="AU4" s="199"/>
      <c r="AV4" s="199"/>
      <c r="AW4" s="323" t="s">
        <v>130</v>
      </c>
      <c r="BA4" s="199" t="str">
        <f>ADDRESS($AI$5,COLUMN(),4)&amp;":"&amp;ADDRESS($AI$6,COLUMN(),4)</f>
        <v>BA15:BA52</v>
      </c>
      <c r="BB4" s="151"/>
      <c r="BE4" s="199" t="str">
        <f>ADDRESS($AI$5,COLUMN(),4)&amp;":"&amp;ADDRESS($AI$6,COLUMN(),4)</f>
        <v>BE15:BE52</v>
      </c>
      <c r="BF4" s="151"/>
      <c r="BI4" s="199" t="str">
        <f>ADDRESS($AI$5,COLUMN(),4)&amp;":"&amp;ADDRESS($AI$6,COLUMN(),4)</f>
        <v>BI15:BI52</v>
      </c>
      <c r="BJ4" s="151"/>
      <c r="BM4" s="199" t="str">
        <f>ADDRESS($AI$5,COLUMN(),4)&amp;":"&amp;ADDRESS($AI$6,COLUMN(),4)</f>
        <v>BM15:BM52</v>
      </c>
      <c r="BN4" s="151"/>
      <c r="BP4" s="9"/>
      <c r="BQ4" s="9"/>
      <c r="BR4" s="9"/>
      <c r="BS4" s="9"/>
      <c r="BV4" s="9"/>
      <c r="BW4" s="9"/>
      <c r="BX4" s="9"/>
      <c r="BY4" s="9"/>
    </row>
    <row r="5" spans="2:86" ht="14">
      <c r="B5" s="49" t="s">
        <v>96</v>
      </c>
      <c r="F5" s="300" t="s">
        <v>159</v>
      </c>
      <c r="G5" s="299" t="s">
        <v>278</v>
      </c>
      <c r="H5" s="49"/>
      <c r="X5" s="407" t="s">
        <v>189</v>
      </c>
      <c r="Y5" s="398">
        <f>MIN(Y15:Y71)</f>
        <v>1.863E-6</v>
      </c>
      <c r="Z5" s="398">
        <f>MIN(Z15:Z71)</f>
        <v>3.501E-8</v>
      </c>
      <c r="AA5" s="401"/>
      <c r="AB5" s="401"/>
      <c r="AC5" s="402">
        <f>MIN(AC15:AC71)</f>
        <v>27.65</v>
      </c>
      <c r="AD5" s="403">
        <f>MIN(AD15:AD71)</f>
        <v>1008</v>
      </c>
      <c r="AE5" s="45"/>
      <c r="AF5" s="45"/>
      <c r="AG5" s="45"/>
      <c r="AH5" s="276" t="s">
        <v>131</v>
      </c>
      <c r="AI5" s="277">
        <v>15</v>
      </c>
      <c r="AM5" s="9"/>
      <c r="AN5" s="9"/>
      <c r="AO5" s="9"/>
      <c r="AP5" s="273" t="s">
        <v>132</v>
      </c>
      <c r="AQ5" s="466">
        <f ca="1">INDEX(LINEST(INDIRECT($AP$4),INDIRECT(AQ$4)),1)</f>
        <v>303820891.74266762</v>
      </c>
      <c r="AR5" s="464"/>
      <c r="AS5" s="204" t="s">
        <v>133</v>
      </c>
      <c r="AT5" s="469">
        <f ca="1">INDEX(LINEST(INDIRECT($AP$4),INDIRECT(AT$4)),1)</f>
        <v>297584683.03887314</v>
      </c>
      <c r="AU5" s="346"/>
      <c r="AV5" s="346"/>
      <c r="AW5" s="204" t="s">
        <v>133</v>
      </c>
      <c r="AZ5" s="202"/>
      <c r="BA5" s="203">
        <f ca="1">INDEX(LINEST(INDIRECT(BA4),INDIRECT($AT4)),1)</f>
        <v>253469634.05328616</v>
      </c>
      <c r="BB5" s="204" t="s">
        <v>133</v>
      </c>
      <c r="BD5" s="202"/>
      <c r="BE5" s="203">
        <f ca="1">INDEX(LINEST(INDIRECT(BE4),INDIRECT($AT4)),1)</f>
        <v>288365241.61811</v>
      </c>
      <c r="BF5" s="204" t="s">
        <v>133</v>
      </c>
      <c r="BH5" s="202"/>
      <c r="BI5" s="203">
        <f ca="1">INDEX(LINEST(INDIRECT(BI4),INDIRECT($AT4)),1)</f>
        <v>277730088.13180846</v>
      </c>
      <c r="BJ5" s="204" t="s">
        <v>133</v>
      </c>
      <c r="BL5" s="202"/>
      <c r="BM5" s="203">
        <f ca="1">INDEX(LINEST(INDIRECT(BM4),INDIRECT($AT4)),1)</f>
        <v>240663871.79418537</v>
      </c>
      <c r="BN5" s="204" t="s">
        <v>133</v>
      </c>
      <c r="BP5" s="9"/>
      <c r="BQ5" s="9"/>
      <c r="BR5" s="9"/>
      <c r="BS5" s="9"/>
      <c r="BV5" s="9"/>
      <c r="BW5" s="9"/>
      <c r="BX5" s="9"/>
      <c r="BY5" s="9"/>
    </row>
    <row r="6" spans="2:86" ht="14">
      <c r="B6" s="61" t="s">
        <v>97</v>
      </c>
      <c r="C6" s="140" t="str">
        <f>BeamWS</f>
        <v>srim84Kr_</v>
      </c>
      <c r="D6" s="141"/>
      <c r="E6" s="9"/>
      <c r="F6" s="300" t="s">
        <v>158</v>
      </c>
      <c r="G6" s="335" t="s">
        <v>279</v>
      </c>
      <c r="H6" s="49"/>
      <c r="X6" s="408"/>
      <c r="Y6" s="405">
        <f>Y5/Y9</f>
        <v>0.96471934916806357</v>
      </c>
      <c r="Z6" s="405">
        <f>Z5/Y9</f>
        <v>1.8129266996443318E-2</v>
      </c>
      <c r="AA6" s="397"/>
      <c r="AB6" s="397"/>
      <c r="AC6" s="437">
        <f>(AC5+273.15)/(AC9+273.15)</f>
        <v>0.99983992624361129</v>
      </c>
      <c r="AD6" s="438">
        <f>AD5/AD9</f>
        <v>1</v>
      </c>
      <c r="AH6" s="278" t="s">
        <v>134</v>
      </c>
      <c r="AI6" s="451">
        <v>52</v>
      </c>
      <c r="AM6" s="206"/>
      <c r="AN6" s="206"/>
      <c r="AO6" s="207"/>
      <c r="AP6" s="274" t="s">
        <v>113</v>
      </c>
      <c r="AQ6" s="467">
        <f ca="1">INDEX(LINEST(INDIRECT(AQ$4),INDIRECT($AP$4)),2)</f>
        <v>3.2123959759480823E-9</v>
      </c>
      <c r="AR6" s="465"/>
      <c r="AS6" s="462">
        <f ca="1">SQRT(SUMSQ(AS15:AS71))</f>
        <v>3.7668620305017066</v>
      </c>
      <c r="AT6" s="470">
        <f ca="1">INDEX(LINEST(INDIRECT(AT$4),INDIRECT($AP$4)),2)</f>
        <v>2.8780616319385229E-9</v>
      </c>
      <c r="AU6" s="347"/>
      <c r="AV6" s="347"/>
      <c r="AW6" s="462">
        <f ca="1">SQRT(SUMSQ(AW15:AW71))</f>
        <v>3.6156754714916177</v>
      </c>
      <c r="AZ6" s="208"/>
      <c r="BA6" s="209">
        <f ca="1">INDEX(LINEST(INDIRECT($AT4),INDIRECT(BA4)),2)</f>
        <v>7.7930241226899035E-9</v>
      </c>
      <c r="BB6" s="210">
        <f ca="1">SQRT(SUMSQ(BB15:BB71))</f>
        <v>16.16692905101193</v>
      </c>
      <c r="BD6" s="208"/>
      <c r="BE6" s="209">
        <f ca="1">INDEX(LINEST(INDIRECT($AT4),INDIRECT(BE4)),2)</f>
        <v>5.4886668084561318E-9</v>
      </c>
      <c r="BF6" s="210">
        <f ca="1">SQRT(SUMSQ(BF15:BF71))</f>
        <v>9.8764533346878896</v>
      </c>
      <c r="BH6" s="208"/>
      <c r="BI6" s="209">
        <f ca="1">INDEX(LINEST(INDIRECT($AT4),INDIRECT(BI4)),2)</f>
        <v>2.0966456571397227E-9</v>
      </c>
      <c r="BJ6" s="210">
        <f ca="1">SQRT(SUMSQ(BJ15:BJ71))</f>
        <v>8.7432005864218088</v>
      </c>
      <c r="BL6" s="208"/>
      <c r="BM6" s="209">
        <f ca="1">INDEX(LINEST(INDIRECT($AT4),INDIRECT(BM4)),2)</f>
        <v>3.4373654932047662E-9</v>
      </c>
      <c r="BN6" s="210">
        <f ca="1">SQRT(SUMSQ(BN15:BN71))</f>
        <v>18.178741022244946</v>
      </c>
      <c r="BP6" s="9"/>
      <c r="BQ6" s="9"/>
      <c r="BR6" s="9"/>
      <c r="BS6" s="9"/>
      <c r="BV6" s="9"/>
      <c r="BW6" s="9"/>
      <c r="BX6" s="9"/>
      <c r="BY6" s="9"/>
    </row>
    <row r="7" spans="2:86">
      <c r="B7" s="172" t="s">
        <v>33</v>
      </c>
      <c r="C7" s="164">
        <f>[1]!srInfoIonA($C$12)</f>
        <v>84</v>
      </c>
      <c r="D7" s="171" t="str">
        <f>[1]!srElmNm([1]!srInfoIonZ($C$12))</f>
        <v>Kr</v>
      </c>
      <c r="E7" s="164"/>
      <c r="G7" s="352"/>
      <c r="H7" s="49"/>
      <c r="I7" s="49"/>
      <c r="X7" s="407" t="s">
        <v>190</v>
      </c>
      <c r="Y7" s="398">
        <f>MAX(Y15:Y71)</f>
        <v>2.0190000000000001E-6</v>
      </c>
      <c r="Z7" s="398">
        <f>MAX(Z15:Z71)</f>
        <v>8.9299999999999999E-8</v>
      </c>
      <c r="AA7" s="401"/>
      <c r="AB7" s="401"/>
      <c r="AC7" s="402">
        <f>MAX(AC15:AC71)</f>
        <v>27.74</v>
      </c>
      <c r="AD7" s="403">
        <f>MAX(AD15:AD71)</f>
        <v>1008</v>
      </c>
      <c r="AH7" s="10"/>
      <c r="AI7" s="10" t="s">
        <v>192</v>
      </c>
      <c r="AM7" s="9"/>
      <c r="AN7" s="9"/>
      <c r="AO7" s="9"/>
      <c r="AP7" s="275" t="s">
        <v>106</v>
      </c>
      <c r="AQ7" s="468">
        <f ca="1">INDEX(LINEST(INDIRECT($AP$4),INDIRECT(AQ$4),,1),3)</f>
        <v>0.97566984100474297</v>
      </c>
      <c r="AR7" s="348"/>
      <c r="AS7" s="461"/>
      <c r="AT7" s="471">
        <f ca="1">INDEX(LINEST(INDIRECT($AP$4),INDIRECT(AT$4),,1),3)</f>
        <v>0.97750029095895197</v>
      </c>
      <c r="AU7" s="348"/>
      <c r="AV7" s="348"/>
      <c r="AW7" s="211"/>
      <c r="AX7" s="10"/>
      <c r="AY7" s="10"/>
      <c r="AZ7" s="139"/>
      <c r="BA7" s="212">
        <f ca="1">INDEX(LINEST(INDIRECT(BA4),INDIRECT($AT4),,1),3)</f>
        <v>0.69226063182296571</v>
      </c>
      <c r="BC7" s="10"/>
      <c r="BD7" s="139"/>
      <c r="BE7" s="212">
        <f ca="1">INDEX(LINEST(INDIRECT(BE4),INDIRECT($AT4),,1),3)</f>
        <v>0.86585252734900309</v>
      </c>
      <c r="BG7" s="10"/>
      <c r="BH7" s="139"/>
      <c r="BI7" s="212">
        <f ca="1">INDEX(LINEST(INDIRECT(BI4),INDIRECT($AT4),,1),3)</f>
        <v>0.88809977886138036</v>
      </c>
      <c r="BK7" s="10"/>
      <c r="BL7" s="139"/>
      <c r="BM7" s="212">
        <f ca="1">INDEX(LINEST(INDIRECT(BM4),INDIRECT($AT4),,1),3)</f>
        <v>0.67543856503937838</v>
      </c>
      <c r="BO7" s="10"/>
      <c r="BP7" s="9"/>
      <c r="BQ7" s="9"/>
      <c r="BR7" s="9"/>
      <c r="BS7" s="9"/>
      <c r="BU7" s="10"/>
      <c r="BV7" s="9"/>
      <c r="BW7" s="9"/>
      <c r="BX7" s="9"/>
      <c r="BY7" s="9"/>
    </row>
    <row r="8" spans="2:86">
      <c r="B8" s="138" t="s">
        <v>107</v>
      </c>
      <c r="C8" s="421"/>
      <c r="D8" s="2" t="s">
        <v>108</v>
      </c>
      <c r="E8" s="45"/>
      <c r="G8" s="157"/>
      <c r="H8" s="157"/>
      <c r="I8" s="157"/>
      <c r="J8" s="51"/>
      <c r="K8" s="51"/>
      <c r="L8" s="51"/>
      <c r="M8" s="51"/>
      <c r="N8" s="51"/>
      <c r="O8" s="51"/>
      <c r="Q8" s="213"/>
      <c r="V8" s="213"/>
      <c r="W8" s="213"/>
      <c r="X8" s="408"/>
      <c r="Y8" s="405">
        <f>Y7/Y9</f>
        <v>1.0455010015943749</v>
      </c>
      <c r="Z8" s="405">
        <f>Z7/Y9</f>
        <v>4.6242317703010238E-2</v>
      </c>
      <c r="AA8" s="163"/>
      <c r="AB8" s="163"/>
      <c r="AC8" s="437">
        <f>(AC7+273.15)/(AC9+273.15)</f>
        <v>1.0001390804768624</v>
      </c>
      <c r="AD8" s="438">
        <f>AD7/AD9</f>
        <v>1</v>
      </c>
      <c r="AE8" s="214"/>
      <c r="AF8" s="214"/>
      <c r="AG8" s="214"/>
      <c r="AH8" s="177"/>
      <c r="AI8" s="214"/>
      <c r="AJ8" s="214"/>
      <c r="AK8" s="36"/>
      <c r="AL8" s="36"/>
      <c r="AM8" s="36"/>
      <c r="AN8" s="36"/>
      <c r="AO8" s="36"/>
      <c r="AP8" s="215"/>
      <c r="AQ8" s="215"/>
      <c r="AR8" s="215"/>
      <c r="AS8" s="215"/>
      <c r="AT8" s="216"/>
      <c r="AU8" s="216"/>
      <c r="AV8" s="216"/>
      <c r="BB8" s="49"/>
      <c r="BF8" s="49"/>
      <c r="BJ8" s="49"/>
      <c r="BM8" s="217"/>
      <c r="BQ8" s="218"/>
      <c r="BW8" s="218"/>
    </row>
    <row r="9" spans="2:86">
      <c r="C9" s="302"/>
      <c r="F9" s="17"/>
      <c r="G9" s="233"/>
      <c r="H9" s="157"/>
      <c r="I9" s="157"/>
      <c r="V9" s="179"/>
      <c r="W9" s="179"/>
      <c r="X9" s="410" t="s">
        <v>118</v>
      </c>
      <c r="Y9" s="436">
        <f>AVERAGE(Y15:Y71)</f>
        <v>1.9311315789473682E-6</v>
      </c>
      <c r="Z9" s="399">
        <f>AVERAGE(Z15:Z71)</f>
        <v>6.255421052631578E-8</v>
      </c>
      <c r="AA9" s="395"/>
      <c r="AB9" s="396"/>
      <c r="AC9" s="400">
        <f>AVERAGE(AC15:AC71)</f>
        <v>27.698157894736852</v>
      </c>
      <c r="AD9" s="404">
        <f>AVERAGE(AD15:AD71)</f>
        <v>1008</v>
      </c>
      <c r="AE9" s="179"/>
      <c r="AF9" s="179"/>
      <c r="AG9" s="179"/>
      <c r="AH9" s="220"/>
      <c r="AI9" s="179"/>
      <c r="AJ9" s="179"/>
      <c r="AM9" s="10"/>
      <c r="AN9" s="10"/>
      <c r="AO9" s="10"/>
      <c r="AQ9" s="215"/>
      <c r="AR9" s="215"/>
      <c r="AS9" s="215" t="s">
        <v>193</v>
      </c>
      <c r="AT9" s="287">
        <f>$Y$9</f>
        <v>1.9311315789473682E-6</v>
      </c>
      <c r="AU9" s="250"/>
      <c r="AV9" s="250"/>
      <c r="AW9" s="221"/>
      <c r="AZ9" s="42" t="s">
        <v>114</v>
      </c>
      <c r="BA9" s="53"/>
      <c r="BB9" s="53"/>
      <c r="BD9" s="42" t="s">
        <v>115</v>
      </c>
      <c r="BE9" s="53"/>
      <c r="BF9" s="53"/>
      <c r="BH9" s="42" t="s">
        <v>116</v>
      </c>
      <c r="BI9" s="53"/>
      <c r="BJ9" s="53"/>
      <c r="BL9" s="42" t="s">
        <v>117</v>
      </c>
      <c r="BM9" s="215"/>
      <c r="BN9" s="221"/>
    </row>
    <row r="10" spans="2:86">
      <c r="E10" s="9"/>
      <c r="F10" s="17"/>
      <c r="G10" s="35"/>
      <c r="H10" s="35"/>
      <c r="I10" s="35"/>
      <c r="V10" s="179"/>
      <c r="W10" s="179"/>
      <c r="X10" s="408"/>
      <c r="Y10" s="163"/>
      <c r="Z10" s="405">
        <f>Z9/Y9</f>
        <v>3.239251597781502E-2</v>
      </c>
      <c r="AA10" s="163"/>
      <c r="AB10" s="163"/>
      <c r="AC10" s="163"/>
      <c r="AD10" s="406"/>
      <c r="AE10" s="179"/>
      <c r="AF10" s="179"/>
      <c r="AG10" s="179"/>
      <c r="AH10" s="514" t="s">
        <v>90</v>
      </c>
      <c r="AI10" s="186"/>
      <c r="AJ10" s="223"/>
      <c r="AK10" s="169" t="s">
        <v>119</v>
      </c>
      <c r="AL10" s="154"/>
      <c r="AM10" s="153" t="s">
        <v>120</v>
      </c>
      <c r="AN10" s="153"/>
      <c r="AO10" s="153"/>
      <c r="AP10" s="154"/>
      <c r="AQ10" s="169" t="s">
        <v>228</v>
      </c>
      <c r="AR10" s="186"/>
      <c r="AS10" s="154"/>
      <c r="AT10" s="169" t="s">
        <v>229</v>
      </c>
      <c r="AU10" s="186"/>
      <c r="AV10" s="186"/>
      <c r="AW10" s="154"/>
      <c r="AZ10" s="311">
        <v>-10</v>
      </c>
      <c r="BA10" s="225">
        <v>-15</v>
      </c>
      <c r="BD10" s="224">
        <v>-5</v>
      </c>
      <c r="BE10" s="225">
        <v>-2</v>
      </c>
      <c r="BH10" s="224">
        <v>5</v>
      </c>
      <c r="BI10" s="225">
        <v>2</v>
      </c>
      <c r="BL10" s="224">
        <v>10</v>
      </c>
      <c r="BM10" s="226">
        <v>5</v>
      </c>
      <c r="BN10" s="179"/>
      <c r="BP10" s="169"/>
      <c r="BQ10" s="186" t="s">
        <v>121</v>
      </c>
      <c r="BR10" s="186"/>
      <c r="BS10" s="186"/>
      <c r="BT10" s="154"/>
      <c r="BU10" s="10"/>
      <c r="BV10" s="169"/>
      <c r="BW10" s="186" t="s">
        <v>121</v>
      </c>
      <c r="BX10" s="186"/>
      <c r="BY10" s="186"/>
      <c r="BZ10" s="154"/>
    </row>
    <row r="11" spans="2:86">
      <c r="B11" s="253" t="s">
        <v>3</v>
      </c>
      <c r="C11" s="283" t="s">
        <v>91</v>
      </c>
      <c r="D11" s="284"/>
      <c r="E11" s="5"/>
      <c r="F11" s="266"/>
      <c r="G11" s="272" t="s">
        <v>160</v>
      </c>
      <c r="H11" s="267"/>
      <c r="I11" s="35"/>
      <c r="V11" s="228" t="s">
        <v>122</v>
      </c>
      <c r="W11" s="229"/>
      <c r="X11" s="409"/>
      <c r="Y11" s="392" t="s">
        <v>167</v>
      </c>
      <c r="Z11" s="392"/>
      <c r="AA11" s="392" t="s">
        <v>101</v>
      </c>
      <c r="AB11" s="392"/>
      <c r="AC11" s="393"/>
      <c r="AD11" s="394"/>
      <c r="AE11" s="229"/>
      <c r="AF11" s="411" t="s">
        <v>167</v>
      </c>
      <c r="AG11" s="412"/>
      <c r="AH11" s="515" t="s">
        <v>280</v>
      </c>
      <c r="AI11" s="230" t="s">
        <v>135</v>
      </c>
      <c r="AJ11" s="231"/>
      <c r="AK11" s="222"/>
      <c r="AL11" s="143" t="s">
        <v>136</v>
      </c>
      <c r="AM11" s="34" t="s">
        <v>103</v>
      </c>
      <c r="AN11" s="143" t="s">
        <v>136</v>
      </c>
      <c r="AO11" s="34" t="s">
        <v>104</v>
      </c>
      <c r="AP11" s="155"/>
      <c r="AQ11" s="459" t="s">
        <v>101</v>
      </c>
      <c r="AR11" s="422"/>
      <c r="AS11" s="155"/>
      <c r="AT11" s="459" t="s">
        <v>101</v>
      </c>
      <c r="AU11" s="422" t="s">
        <v>101</v>
      </c>
      <c r="AV11" s="422"/>
      <c r="AW11" s="155"/>
      <c r="AZ11" s="232">
        <f>$C$29+AZ10</f>
        <v>978</v>
      </c>
      <c r="BA11" s="215"/>
      <c r="BB11" s="221"/>
      <c r="BD11" s="232">
        <f>$C$29+BD10</f>
        <v>983</v>
      </c>
      <c r="BE11" s="215"/>
      <c r="BF11" s="221"/>
      <c r="BH11" s="232">
        <f>$C$29+BH10</f>
        <v>993</v>
      </c>
      <c r="BI11" s="215"/>
      <c r="BJ11" s="221"/>
      <c r="BL11" s="232">
        <f>$C$29+BL10</f>
        <v>998</v>
      </c>
      <c r="BM11" s="45"/>
      <c r="BN11" s="179"/>
      <c r="BP11" s="222" t="s">
        <v>137</v>
      </c>
      <c r="BQ11" s="179"/>
      <c r="BR11" s="179"/>
      <c r="BS11" s="179"/>
      <c r="BT11" s="155"/>
      <c r="BU11" s="10"/>
      <c r="BV11" s="222" t="s">
        <v>137</v>
      </c>
      <c r="BW11" s="179"/>
      <c r="BX11" s="179"/>
      <c r="BY11" s="179"/>
      <c r="BZ11" s="155"/>
    </row>
    <row r="12" spans="2:86">
      <c r="B12" s="285" t="s">
        <v>156</v>
      </c>
      <c r="C12" s="158" t="str">
        <f t="shared" ref="C12:C13" si="0">$C$6&amp;B12</f>
        <v>srim84Kr_Si</v>
      </c>
      <c r="D12" s="279"/>
      <c r="E12" s="5"/>
      <c r="F12" s="268" t="s">
        <v>111</v>
      </c>
      <c r="G12" s="265" t="s">
        <v>154</v>
      </c>
      <c r="H12" s="269" t="s">
        <v>155</v>
      </c>
      <c r="I12" s="296"/>
      <c r="J12" s="59"/>
      <c r="K12" s="126" t="s">
        <v>124</v>
      </c>
      <c r="L12" s="127"/>
      <c r="M12" s="56"/>
      <c r="N12" s="56"/>
      <c r="O12" s="56"/>
      <c r="P12" s="56"/>
      <c r="Q12" s="56"/>
      <c r="R12" s="56"/>
      <c r="S12" s="56"/>
      <c r="T12" s="56"/>
      <c r="U12" s="56"/>
      <c r="V12" s="234" t="s">
        <v>138</v>
      </c>
      <c r="W12" s="128"/>
      <c r="X12" s="104" t="s">
        <v>139</v>
      </c>
      <c r="Y12" s="53" t="s">
        <v>118</v>
      </c>
      <c r="Z12" s="53" t="s">
        <v>168</v>
      </c>
      <c r="AA12" s="53" t="s">
        <v>118</v>
      </c>
      <c r="AB12" s="53" t="s">
        <v>168</v>
      </c>
      <c r="AC12" s="35" t="s">
        <v>92</v>
      </c>
      <c r="AD12" s="162" t="s">
        <v>123</v>
      </c>
      <c r="AE12" s="128"/>
      <c r="AF12" s="413" t="s">
        <v>191</v>
      </c>
      <c r="AG12" s="414"/>
      <c r="AH12" s="516" t="s">
        <v>140</v>
      </c>
      <c r="AI12" s="235" t="s">
        <v>141</v>
      </c>
      <c r="AJ12" s="236" t="s">
        <v>255</v>
      </c>
      <c r="AK12" s="125" t="s">
        <v>142</v>
      </c>
      <c r="AL12" s="143" t="s">
        <v>125</v>
      </c>
      <c r="AM12" s="53" t="s">
        <v>143</v>
      </c>
      <c r="AN12" s="143" t="s">
        <v>126</v>
      </c>
      <c r="AO12" s="53" t="s">
        <v>144</v>
      </c>
      <c r="AP12" s="143" t="s">
        <v>145</v>
      </c>
      <c r="AQ12" s="459" t="s">
        <v>227</v>
      </c>
      <c r="AR12" s="53" t="s">
        <v>170</v>
      </c>
      <c r="AS12" s="423" t="s">
        <v>147</v>
      </c>
      <c r="AT12" s="459" t="s">
        <v>146</v>
      </c>
      <c r="AU12" s="422" t="s">
        <v>146</v>
      </c>
      <c r="AV12" s="53" t="s">
        <v>170</v>
      </c>
      <c r="AW12" s="423" t="s">
        <v>147</v>
      </c>
      <c r="AZ12" s="237" t="s">
        <v>141</v>
      </c>
      <c r="BA12" s="238" t="s">
        <v>145</v>
      </c>
      <c r="BB12" s="239" t="s">
        <v>147</v>
      </c>
      <c r="BD12" s="237" t="s">
        <v>141</v>
      </c>
      <c r="BE12" s="238" t="s">
        <v>145</v>
      </c>
      <c r="BF12" s="239" t="s">
        <v>147</v>
      </c>
      <c r="BH12" s="237" t="s">
        <v>141</v>
      </c>
      <c r="BI12" s="238" t="s">
        <v>145</v>
      </c>
      <c r="BJ12" s="239" t="s">
        <v>147</v>
      </c>
      <c r="BL12" s="237" t="s">
        <v>141</v>
      </c>
      <c r="BM12" s="238" t="s">
        <v>145</v>
      </c>
      <c r="BN12" s="239" t="s">
        <v>147</v>
      </c>
      <c r="BP12" s="240">
        <f>$AZ$11</f>
        <v>978</v>
      </c>
      <c r="BQ12" s="214">
        <f>$BD$11</f>
        <v>983</v>
      </c>
      <c r="BR12" s="241">
        <f>$C$29</f>
        <v>988</v>
      </c>
      <c r="BS12" s="242">
        <f>$BH$11</f>
        <v>993</v>
      </c>
      <c r="BT12" s="243">
        <f>$BL$11</f>
        <v>998</v>
      </c>
      <c r="BU12" s="10"/>
      <c r="BV12" s="240">
        <f>$AZ$11</f>
        <v>978</v>
      </c>
      <c r="BW12" s="214">
        <f>$BD$11</f>
        <v>983</v>
      </c>
      <c r="BX12" s="241">
        <f>$C$29</f>
        <v>988</v>
      </c>
      <c r="BY12" s="242">
        <f>$BH$11</f>
        <v>993</v>
      </c>
      <c r="BZ12" s="243">
        <f>$BL$11</f>
        <v>998</v>
      </c>
    </row>
    <row r="13" spans="2:86">
      <c r="B13" s="285" t="s">
        <v>151</v>
      </c>
      <c r="C13" s="159" t="str">
        <f t="shared" si="0"/>
        <v>srim84Kr_Al</v>
      </c>
      <c r="D13" s="279"/>
      <c r="E13" s="5"/>
      <c r="F13" s="57" t="s">
        <v>127</v>
      </c>
      <c r="G13" s="270"/>
      <c r="H13" s="271"/>
      <c r="I13" s="296"/>
      <c r="J13" s="338">
        <v>1</v>
      </c>
      <c r="K13" s="339">
        <v>2</v>
      </c>
      <c r="L13" s="339">
        <v>3</v>
      </c>
      <c r="M13" s="339">
        <v>4</v>
      </c>
      <c r="N13" s="339">
        <v>5</v>
      </c>
      <c r="O13" s="339">
        <v>6</v>
      </c>
      <c r="P13" s="339">
        <v>7</v>
      </c>
      <c r="Q13" s="339">
        <v>8</v>
      </c>
      <c r="R13" s="340">
        <v>9</v>
      </c>
      <c r="S13" s="339" t="s">
        <v>49</v>
      </c>
      <c r="T13" s="339" t="s">
        <v>51</v>
      </c>
      <c r="U13" s="340" t="s">
        <v>0</v>
      </c>
      <c r="V13" s="244" t="s">
        <v>127</v>
      </c>
      <c r="W13" s="245"/>
      <c r="X13" s="408"/>
      <c r="Y13" s="246" t="s">
        <v>128</v>
      </c>
      <c r="Z13" s="246" t="s">
        <v>128</v>
      </c>
      <c r="AA13" s="246" t="s">
        <v>128</v>
      </c>
      <c r="AB13" s="246" t="s">
        <v>128</v>
      </c>
      <c r="AC13" s="193" t="s">
        <v>0</v>
      </c>
      <c r="AD13" s="174" t="s">
        <v>129</v>
      </c>
      <c r="AE13" s="245"/>
      <c r="AF13" s="57" t="s">
        <v>118</v>
      </c>
      <c r="AG13" s="415" t="s">
        <v>168</v>
      </c>
      <c r="AH13" s="517" t="s">
        <v>127</v>
      </c>
      <c r="AI13" s="193" t="s">
        <v>108</v>
      </c>
      <c r="AJ13" s="156" t="s">
        <v>2</v>
      </c>
      <c r="AK13" s="60" t="s">
        <v>108</v>
      </c>
      <c r="AL13" s="247" t="s">
        <v>89</v>
      </c>
      <c r="AM13" s="54" t="s">
        <v>108</v>
      </c>
      <c r="AN13" s="156" t="s">
        <v>105</v>
      </c>
      <c r="AO13" s="54" t="s">
        <v>108</v>
      </c>
      <c r="AP13" s="144" t="s">
        <v>110</v>
      </c>
      <c r="AQ13" s="460" t="s">
        <v>169</v>
      </c>
      <c r="AR13" s="246" t="s">
        <v>169</v>
      </c>
      <c r="AS13" s="424" t="s">
        <v>169</v>
      </c>
      <c r="AT13" s="460" t="s">
        <v>128</v>
      </c>
      <c r="AU13" s="246" t="s">
        <v>169</v>
      </c>
      <c r="AV13" s="246" t="s">
        <v>169</v>
      </c>
      <c r="AW13" s="424" t="s">
        <v>169</v>
      </c>
      <c r="AZ13" s="248" t="s">
        <v>108</v>
      </c>
      <c r="BA13" s="173" t="s">
        <v>110</v>
      </c>
      <c r="BB13" s="58" t="s">
        <v>110</v>
      </c>
      <c r="BD13" s="248" t="s">
        <v>108</v>
      </c>
      <c r="BE13" s="173" t="s">
        <v>110</v>
      </c>
      <c r="BF13" s="58" t="s">
        <v>110</v>
      </c>
      <c r="BH13" s="248" t="s">
        <v>108</v>
      </c>
      <c r="BI13" s="173" t="s">
        <v>110</v>
      </c>
      <c r="BJ13" s="58" t="s">
        <v>110</v>
      </c>
      <c r="BL13" s="248" t="s">
        <v>108</v>
      </c>
      <c r="BM13" s="173" t="s">
        <v>110</v>
      </c>
      <c r="BN13" s="58" t="s">
        <v>110</v>
      </c>
      <c r="BP13" s="249" t="s">
        <v>148</v>
      </c>
      <c r="BQ13" s="163"/>
      <c r="BR13" s="163"/>
      <c r="BS13" s="163"/>
      <c r="BT13" s="170"/>
      <c r="BU13" s="10"/>
      <c r="BV13" s="249" t="s">
        <v>149</v>
      </c>
      <c r="BW13" s="163"/>
      <c r="BX13" s="163"/>
      <c r="BY13" s="163"/>
      <c r="BZ13" s="170"/>
    </row>
    <row r="14" spans="2:86">
      <c r="B14" s="285" t="s">
        <v>152</v>
      </c>
      <c r="C14" s="159" t="str">
        <f>$C$6&amp;B14</f>
        <v>srim84Kr_Air</v>
      </c>
      <c r="D14" s="279"/>
      <c r="E14" s="5"/>
      <c r="F14" s="9"/>
      <c r="G14" s="161"/>
      <c r="H14" s="161"/>
      <c r="I14" s="297"/>
      <c r="J14" s="341"/>
      <c r="K14" s="341"/>
      <c r="L14" s="341"/>
      <c r="M14" s="341"/>
      <c r="N14" s="341"/>
      <c r="O14" s="341"/>
      <c r="P14" s="341"/>
      <c r="Q14" s="341"/>
      <c r="R14" s="342"/>
      <c r="S14" s="341"/>
      <c r="T14" s="341"/>
      <c r="U14" s="342"/>
      <c r="V14" s="139"/>
      <c r="W14" s="139"/>
      <c r="X14" s="157"/>
      <c r="Y14" s="263"/>
      <c r="Z14" s="263"/>
      <c r="AA14" s="263"/>
      <c r="AB14" s="263"/>
      <c r="AC14" s="139"/>
      <c r="AD14" s="139"/>
      <c r="AE14" s="139"/>
      <c r="AF14" s="139"/>
      <c r="AG14" s="139"/>
      <c r="AH14" s="139"/>
      <c r="AI14" s="139"/>
      <c r="AJ14" s="131"/>
      <c r="AK14" s="35"/>
      <c r="AL14" s="131"/>
      <c r="AM14" s="35"/>
      <c r="AN14" s="131"/>
      <c r="AO14" s="35"/>
      <c r="AP14" s="35"/>
      <c r="AQ14" s="35"/>
      <c r="AR14" s="263"/>
      <c r="AS14" s="35"/>
      <c r="AT14" s="263"/>
      <c r="AU14" s="263"/>
      <c r="AV14" s="263"/>
      <c r="AW14" s="35"/>
      <c r="AX14" s="51"/>
      <c r="AY14" s="51"/>
      <c r="AZ14" s="139"/>
      <c r="BA14" s="35"/>
      <c r="BB14" s="35"/>
      <c r="BC14" s="51"/>
      <c r="BD14" s="139"/>
      <c r="BE14" s="35"/>
      <c r="BF14" s="35"/>
      <c r="BG14" s="51"/>
      <c r="BH14" s="139"/>
      <c r="BI14" s="35"/>
      <c r="BJ14" s="35"/>
      <c r="BK14" s="51"/>
      <c r="BL14" s="139"/>
      <c r="BM14" s="35"/>
      <c r="BN14" s="35"/>
      <c r="BO14" s="51"/>
      <c r="BP14" s="264"/>
      <c r="BQ14" s="157"/>
      <c r="BR14" s="157"/>
      <c r="BS14" s="157"/>
      <c r="BT14" s="157"/>
      <c r="BU14" s="219"/>
      <c r="BV14" s="264"/>
      <c r="BW14" s="157"/>
      <c r="BX14" s="157"/>
      <c r="BY14" s="157"/>
      <c r="BZ14" s="157"/>
      <c r="CA14" s="51"/>
      <c r="CB14" s="51"/>
      <c r="CC14" s="51"/>
    </row>
    <row r="15" spans="2:86">
      <c r="B15" s="285" t="s">
        <v>153</v>
      </c>
      <c r="C15" s="159" t="str">
        <f>$C$6&amp;B15</f>
        <v>srim84Kr_Mylar</v>
      </c>
      <c r="D15" s="281"/>
      <c r="E15" s="45"/>
      <c r="F15" s="123">
        <f>V15</f>
        <v>0</v>
      </c>
      <c r="G15" s="259" t="s">
        <v>201</v>
      </c>
      <c r="H15" s="233">
        <v>1</v>
      </c>
      <c r="I15" s="297"/>
      <c r="J15" s="343" t="str">
        <f>IF(MID($G15,1,1)&lt;&gt;"0","1","0")</f>
        <v>0</v>
      </c>
      <c r="K15" s="343" t="str">
        <f>IF(MID($G15,2,1)&lt;&gt;"0","2","0")</f>
        <v>0</v>
      </c>
      <c r="L15" s="343" t="str">
        <f>IF(MID($G15,3,1)&lt;&gt;"0","3","0")</f>
        <v>0</v>
      </c>
      <c r="M15" s="343" t="str">
        <f>IF(MID($G15,4,1)&lt;&gt;"0","4","0")</f>
        <v>0</v>
      </c>
      <c r="N15" s="343" t="str">
        <f>IF(MID($G15,5,1)&lt;&gt;"0","5","0")</f>
        <v>0</v>
      </c>
      <c r="O15" s="343" t="str">
        <f>IF(MID($G15,6,1)&lt;&gt;"0","6","0")</f>
        <v>0</v>
      </c>
      <c r="P15" s="343" t="str">
        <f>IF(MID($G15,7,1)&lt;&gt;"0","7","0")</f>
        <v>0</v>
      </c>
      <c r="Q15" s="343" t="str">
        <f>IF(MID($G15,8,1)&lt;&gt;"0","8","0")</f>
        <v>0</v>
      </c>
      <c r="R15" s="343" t="str">
        <f>IF(MID($G15,9,1)&lt;&gt;"0","9","0")</f>
        <v>0</v>
      </c>
      <c r="S15" s="343" t="str">
        <f>IF(MID($G15,10,1)&lt;&gt;"0","A","0")</f>
        <v>0</v>
      </c>
      <c r="T15" s="343" t="str">
        <f>IF(MID($G15,11,1)&lt;&gt;"0","B","0")</f>
        <v>0</v>
      </c>
      <c r="U15" s="343" t="str">
        <f>IF(MID($G15,12,1)&lt;&gt;"0","C","0")</f>
        <v>0</v>
      </c>
      <c r="V15" s="46">
        <f>[2]!e5aEDthkI(ThEDtbl,J15:U15)</f>
        <v>0</v>
      </c>
      <c r="W15" s="46"/>
      <c r="X15" s="425"/>
      <c r="Y15" s="377">
        <v>1.968E-6</v>
      </c>
      <c r="Z15" s="378">
        <v>7.2810000000000001E-8</v>
      </c>
      <c r="AA15" s="378">
        <v>1.253E-8</v>
      </c>
      <c r="AB15" s="378">
        <v>3.7139999999999998E-10</v>
      </c>
      <c r="AC15" s="379">
        <v>27.7</v>
      </c>
      <c r="AD15" s="380">
        <v>1008</v>
      </c>
      <c r="AE15" s="46"/>
      <c r="AF15" s="391">
        <f>Y15/Y$9</f>
        <v>1.0190916152242346</v>
      </c>
      <c r="AG15" s="391">
        <f t="shared" ref="AG15:AG45" si="1">Z15/Y$9</f>
        <v>3.7703282776664897E-2</v>
      </c>
      <c r="AH15" s="344">
        <f>$C$29-$V15</f>
        <v>988</v>
      </c>
      <c r="AI15" s="418">
        <f>[1]!srRng2E($C$13,AH15)</f>
        <v>55.099244337897339</v>
      </c>
      <c r="AJ15" s="124">
        <f>[1]!srE2Rng($C$14,AI15)/1000</f>
        <v>1927.268836580696</v>
      </c>
      <c r="AK15" s="161">
        <f>[1]!srEnewGas($C$14,AI15,$C$21,$AD15*100,$AC15)</f>
        <v>52.175977584224604</v>
      </c>
      <c r="AL15" s="161">
        <f>[1]!srE2LETt($C$12,AK15,0)</f>
        <v>11.619848241814498</v>
      </c>
      <c r="AM15" s="161">
        <f>[1]!srEnew($C$15,AK15,$C$33)</f>
        <v>52.080739488986509</v>
      </c>
      <c r="AN15" s="161">
        <f>[1]!srE2LETt($C$14,AM15,0)</f>
        <v>12.897880467039988</v>
      </c>
      <c r="AO15" s="161">
        <f>[1]!srEnewGas($C$14,AM15,$C$34,AD15*100,AC15)</f>
        <v>52.043513793321502</v>
      </c>
      <c r="AP15" s="372">
        <f>(AM15-AO15)*$C$7</f>
        <v>3.1269584358606437</v>
      </c>
      <c r="AQ15" s="252">
        <f ca="1">$AQ$5*(AA15-$AQ$6)</f>
        <v>2.830882763492522</v>
      </c>
      <c r="AR15" s="349">
        <f ca="1">$AQ$5*AB15</f>
        <v>0.11283907919322675</v>
      </c>
      <c r="AS15" s="252">
        <f ca="1">AQ15-AP15</f>
        <v>-0.29607567236812171</v>
      </c>
      <c r="AT15" s="419">
        <f t="shared" ref="AT15:AT45" si="2">AA15/Y15*AT$9</f>
        <v>1.2295263559050063E-8</v>
      </c>
      <c r="AU15" s="349">
        <f t="shared" ref="AU15:AU45" ca="1" si="3">$AT$5*(AT15-$AT$6)</f>
        <v>2.8024150505925531</v>
      </c>
      <c r="AV15" s="349">
        <f ca="1">$AT$5*AB15</f>
        <v>0.11052295128063748</v>
      </c>
      <c r="AW15" s="252">
        <f t="shared" ref="AW15:AW45" ca="1" si="4">AU15-AP15</f>
        <v>-0.32454338526809057</v>
      </c>
      <c r="AX15" s="123"/>
      <c r="AY15" s="123"/>
      <c r="AZ15" s="13">
        <f>[1]!srRng2E($C$13,AZ$11-$V15)</f>
        <v>54.764050005631262</v>
      </c>
      <c r="BA15" s="372">
        <f>[2]!e5adE_ICs(AZ15,$C$14,$C$15,$C$21,$AD15,$AC15,$C$33,$C$34)*$C$7</f>
        <v>3.1269584358606437</v>
      </c>
      <c r="BB15" s="252">
        <f ca="1">BA$5*($AT15-BA$6)-BA15</f>
        <v>-1.9857774535061608</v>
      </c>
      <c r="BC15" s="123"/>
      <c r="BD15" s="13">
        <f>[1]!srRng2E($C$13,BD$11-$V15)</f>
        <v>54.931647171764304</v>
      </c>
      <c r="BE15" s="372">
        <f>[2]!e5adE_ICs(BD15,$C$14,$C$15,$C$21,$AD15,$AC15,$C$33,$C$34)*$C$7</f>
        <v>3.1269584358606437</v>
      </c>
      <c r="BF15" s="252">
        <f ca="1">BE$5*($AT15-BE$6)-BE15</f>
        <v>-1.1641725192785823</v>
      </c>
      <c r="BG15" s="123"/>
      <c r="BH15" s="13">
        <f>[1]!srRng2E($C$13,BH$11-$V15)</f>
        <v>55.266841504030374</v>
      </c>
      <c r="BI15" s="372">
        <f>[2]!e5adE_ICs(BH15,$C$14,$C$15,$C$21,$AD15,$AC15,$C$33,$C$34)*$C$7</f>
        <v>3.1269584358606437</v>
      </c>
      <c r="BJ15" s="252">
        <f ca="1">BI$5*($AT15-BI$6)-BI15</f>
        <v>-0.29449538714044543</v>
      </c>
      <c r="BK15" s="123"/>
      <c r="BL15" s="13">
        <f>[1]!srRng2E($C$13,BL$11-$V15)</f>
        <v>55.434438670163416</v>
      </c>
      <c r="BM15" s="372">
        <f>[2]!e5adE_ICs(BL15,$C$14,$C$15,$C$21,$AD15,$AC15,$C$33,$C$34)*$C$7</f>
        <v>3.1269584358606437</v>
      </c>
      <c r="BN15" s="252">
        <f ca="1">BM$5*($AT15-BM$6)-BM15</f>
        <v>-0.99518239137608866</v>
      </c>
      <c r="BO15" s="123"/>
      <c r="BP15" s="123">
        <f>$BA15</f>
        <v>3.1269584358606437</v>
      </c>
      <c r="BQ15" s="123">
        <f>$BE15</f>
        <v>3.1269584358606437</v>
      </c>
      <c r="BR15" s="123">
        <f>$AP15</f>
        <v>3.1269584358606437</v>
      </c>
      <c r="BS15" s="123">
        <f>$BI15</f>
        <v>3.1269584358606437</v>
      </c>
      <c r="BT15" s="123">
        <f>$BM15</f>
        <v>3.1269584358606437</v>
      </c>
      <c r="BU15" s="123"/>
      <c r="BV15" s="123">
        <f ca="1">$BB15</f>
        <v>-1.9857774535061608</v>
      </c>
      <c r="BW15" s="123">
        <f ca="1">$BF15</f>
        <v>-1.1641725192785823</v>
      </c>
      <c r="BX15" s="123">
        <f t="shared" ref="BX15:BX52" ca="1" si="5">$AW15</f>
        <v>-0.32454338526809057</v>
      </c>
      <c r="BY15" s="123">
        <f ca="1">$BJ15</f>
        <v>-0.29449538714044543</v>
      </c>
      <c r="BZ15" s="123">
        <f ca="1">$BN15</f>
        <v>-0.99518239137608866</v>
      </c>
      <c r="CA15" s="142"/>
    </row>
    <row r="16" spans="2:86">
      <c r="B16" s="286"/>
      <c r="C16" s="280"/>
      <c r="D16" s="282"/>
      <c r="F16" s="123">
        <f t="shared" ref="F16:F52" si="6">V16</f>
        <v>72.39</v>
      </c>
      <c r="G16" s="373" t="s">
        <v>256</v>
      </c>
      <c r="H16" s="444">
        <v>2</v>
      </c>
      <c r="I16" s="298"/>
      <c r="J16" s="343" t="str">
        <f t="shared" ref="J16:J52" si="7">IF(MID($G16,1,1)&lt;&gt;"0","1","0")</f>
        <v>0</v>
      </c>
      <c r="K16" s="343" t="str">
        <f t="shared" ref="K16:K52" si="8">IF(MID($G16,2,1)&lt;&gt;"0","2","0")</f>
        <v>0</v>
      </c>
      <c r="L16" s="343" t="str">
        <f t="shared" ref="L16:L52" si="9">IF(MID($G16,3,1)&lt;&gt;"0","3","0")</f>
        <v>3</v>
      </c>
      <c r="M16" s="343" t="str">
        <f t="shared" ref="M16:M52" si="10">IF(MID($G16,4,1)&lt;&gt;"0","4","0")</f>
        <v>4</v>
      </c>
      <c r="N16" s="343" t="str">
        <f t="shared" ref="N16:N52" si="11">IF(MID($G16,5,1)&lt;&gt;"0","5","0")</f>
        <v>0</v>
      </c>
      <c r="O16" s="343" t="str">
        <f t="shared" ref="O16:O52" si="12">IF(MID($G16,6,1)&lt;&gt;"0","6","0")</f>
        <v>0</v>
      </c>
      <c r="P16" s="343" t="str">
        <f t="shared" ref="P16:P52" si="13">IF(MID($G16,7,1)&lt;&gt;"0","7","0")</f>
        <v>0</v>
      </c>
      <c r="Q16" s="343" t="str">
        <f t="shared" ref="Q16:Q52" si="14">IF(MID($G16,8,1)&lt;&gt;"0","8","0")</f>
        <v>0</v>
      </c>
      <c r="R16" s="343" t="str">
        <f t="shared" ref="R16:R52" si="15">IF(MID($G16,9,1)&lt;&gt;"0","9","0")</f>
        <v>0</v>
      </c>
      <c r="S16" s="343" t="str">
        <f t="shared" ref="S16:S52" si="16">IF(MID($G16,10,1)&lt;&gt;"0","A","0")</f>
        <v>0</v>
      </c>
      <c r="T16" s="343" t="str">
        <f t="shared" ref="T16:T52" si="17">IF(MID($G16,11,1)&lt;&gt;"0","B","0")</f>
        <v>0</v>
      </c>
      <c r="U16" s="343" t="str">
        <f t="shared" ref="U16:U52" si="18">IF(MID($G16,12,1)&lt;&gt;"0","C","0")</f>
        <v>0</v>
      </c>
      <c r="V16" s="46">
        <f>[2]!e5aEDthkI(ThEDtbl,J16:U16)</f>
        <v>72.39</v>
      </c>
      <c r="W16" s="46"/>
      <c r="X16" s="177"/>
      <c r="Y16" s="381">
        <v>1.962E-6</v>
      </c>
      <c r="Z16" s="257">
        <v>8.8349999999999994E-8</v>
      </c>
      <c r="AA16" s="257">
        <v>1.318E-8</v>
      </c>
      <c r="AB16" s="257">
        <v>5.8930000000000002E-10</v>
      </c>
      <c r="AC16" s="251">
        <v>27.7</v>
      </c>
      <c r="AD16" s="382">
        <v>1008</v>
      </c>
      <c r="AE16" s="46"/>
      <c r="AF16" s="391">
        <f t="shared" ref="AF16:AF45" si="19">Y16/Y$9</f>
        <v>1.0159846285924534</v>
      </c>
      <c r="AG16" s="391">
        <f t="shared" si="1"/>
        <v>4.5750378152978208E-2</v>
      </c>
      <c r="AH16" s="344">
        <f t="shared" ref="AH16:AH52" si="20">$C$29-$V16</f>
        <v>915.61</v>
      </c>
      <c r="AI16" s="418">
        <f>[1]!srRng2E($C$13,AH16)</f>
        <v>52.577511448027145</v>
      </c>
      <c r="AJ16" s="124">
        <f>[1]!srE2Rng($C$14,AI16)/1000</f>
        <v>1788.2367962132539</v>
      </c>
      <c r="AK16" s="252">
        <f>[1]!srEnewGas($C$14,AI16,$C$21,$AD16*100,$AC16)</f>
        <v>49.506391555663882</v>
      </c>
      <c r="AL16" s="252">
        <f>[1]!srE2LETt($C$12,AK16,0)</f>
        <v>12.050632291536227</v>
      </c>
      <c r="AM16" s="252">
        <f>[1]!srEnew($C$15,AK16,$C$33)</f>
        <v>49.411153460425787</v>
      </c>
      <c r="AN16" s="252">
        <f>[1]!srE2LETt($C$14,AM16,0)</f>
        <v>13.38697410600137</v>
      </c>
      <c r="AO16" s="161">
        <f>[1]!srEnewGas($C$14,AM16,$C$34,AD16*100,AC16)</f>
        <v>49.373927764760779</v>
      </c>
      <c r="AP16" s="372">
        <f t="shared" ref="AP16:AP45" si="21">(AM16-AO16)*$C$7</f>
        <v>3.1269584358606437</v>
      </c>
      <c r="AQ16" s="252">
        <f t="shared" ref="AQ16:AQ45" ca="1" si="22">$AQ$5*(AA16-$AQ$6)</f>
        <v>3.0283663431252554</v>
      </c>
      <c r="AR16" s="349">
        <f t="shared" ref="AR16:AR45" ca="1" si="23">$AQ$5*AB16</f>
        <v>0.17904165150395404</v>
      </c>
      <c r="AS16" s="252">
        <f t="shared" ref="AS16:AS45" ca="1" si="24">AQ16-AP16</f>
        <v>-9.859209273538827E-2</v>
      </c>
      <c r="AT16" s="419">
        <f t="shared" si="2"/>
        <v>1.2972637212296794E-8</v>
      </c>
      <c r="AU16" s="349">
        <f t="shared" ca="1" si="3"/>
        <v>3.0039910744928648</v>
      </c>
      <c r="AV16" s="349">
        <f t="shared" ref="AV16:AV45" ca="1" si="25">$AT$5*AB16</f>
        <v>0.17536665371480795</v>
      </c>
      <c r="AW16" s="252">
        <f t="shared" ca="1" si="4"/>
        <v>-0.12296736136777886</v>
      </c>
      <c r="AX16" s="123"/>
      <c r="AY16" s="123"/>
      <c r="AZ16" s="13">
        <f>[1]!srRng2E($C$13,AZ$11-$V16)</f>
        <v>52.206785180439887</v>
      </c>
      <c r="BA16" s="372">
        <f>[2]!e5adE_ICs(AZ16,$C$14,$C$15,$C$21,$AD16,$AC16,$C$33,$C$34)*$C$7</f>
        <v>3.1269584358606437</v>
      </c>
      <c r="BB16" s="252">
        <f t="shared" ref="BB16:BB45" ca="1" si="26">BA$5*($AT16-BA$6)-BA16</f>
        <v>-1.8140838015003742</v>
      </c>
      <c r="BC16" s="123"/>
      <c r="BD16" s="13">
        <f>[1]!srRng2E($C$13,BD$11-$V16)</f>
        <v>52.392148314233516</v>
      </c>
      <c r="BE16" s="372">
        <f>[2]!e5adE_ICs(BD16,$C$14,$C$15,$C$21,$AD16,$AC16,$C$33,$C$34)*$C$7</f>
        <v>3.1269584358606437</v>
      </c>
      <c r="BF16" s="252">
        <f t="shared" ref="BF16:BF45" ca="1" si="27">BE$5*($AT16-BE$6)-BE16</f>
        <v>-0.96884150209434683</v>
      </c>
      <c r="BG16" s="123"/>
      <c r="BH16" s="13">
        <f>[1]!srRng2E($C$13,BH$11-$V16)</f>
        <v>52.762874581820768</v>
      </c>
      <c r="BI16" s="372">
        <f>[2]!e5adE_ICs(BH16,$C$14,$C$15,$C$21,$AD16,$AC16,$C$33,$C$34)*$C$7</f>
        <v>3.1269584358606437</v>
      </c>
      <c r="BJ16" s="252">
        <f t="shared" ref="BJ16:BJ45" ca="1" si="28">BI$5*($AT16-BI$6)-BI16</f>
        <v>-0.10636834272606555</v>
      </c>
      <c r="BK16" s="123"/>
      <c r="BL16" s="13">
        <f>[1]!srRng2E($C$13,BL$11-$V16)</f>
        <v>52.948237715614397</v>
      </c>
      <c r="BM16" s="372">
        <f>[2]!e5adE_ICs(BL16,$C$14,$C$15,$C$21,$AD16,$AC16,$C$33,$C$34)*$C$7</f>
        <v>3.1269584358606437</v>
      </c>
      <c r="BN16" s="252">
        <f t="shared" ref="BN16:BN45" ca="1" si="29">BM$5*($AT16-BM$6)-BM16</f>
        <v>-0.83216302533435815</v>
      </c>
      <c r="BO16" s="123"/>
      <c r="BP16" s="123">
        <f t="shared" ref="BP16:BP52" si="30">$BA16</f>
        <v>3.1269584358606437</v>
      </c>
      <c r="BQ16" s="123">
        <f t="shared" ref="BQ16:BQ52" si="31">$BE16</f>
        <v>3.1269584358606437</v>
      </c>
      <c r="BR16" s="123">
        <f t="shared" ref="BR16:BR52" si="32">$AP16</f>
        <v>3.1269584358606437</v>
      </c>
      <c r="BS16" s="123">
        <f t="shared" ref="BS16:BS52" si="33">$BI16</f>
        <v>3.1269584358606437</v>
      </c>
      <c r="BT16" s="123">
        <f t="shared" ref="BT16:BT52" si="34">$BM16</f>
        <v>3.1269584358606437</v>
      </c>
      <c r="BU16" s="123"/>
      <c r="BV16" s="123">
        <f t="shared" ref="BV16:BV52" ca="1" si="35">$BB16</f>
        <v>-1.8140838015003742</v>
      </c>
      <c r="BW16" s="123">
        <f t="shared" ref="BW16:BW52" ca="1" si="36">$BF16</f>
        <v>-0.96884150209434683</v>
      </c>
      <c r="BX16" s="123">
        <f t="shared" ca="1" si="5"/>
        <v>-0.12296736136777886</v>
      </c>
      <c r="BY16" s="123">
        <f t="shared" ref="BY16:BY52" ca="1" si="37">$BJ16</f>
        <v>-0.10636834272606555</v>
      </c>
      <c r="BZ16" s="123">
        <f t="shared" ref="BZ16:BZ52" ca="1" si="38">$BN16</f>
        <v>-0.83216302533435815</v>
      </c>
      <c r="CA16" s="142"/>
    </row>
    <row r="17" spans="2:79">
      <c r="F17" s="123">
        <f t="shared" si="6"/>
        <v>148.82999999999998</v>
      </c>
      <c r="G17" s="373" t="s">
        <v>209</v>
      </c>
      <c r="H17" s="444">
        <v>3</v>
      </c>
      <c r="I17" s="298"/>
      <c r="J17" s="343" t="str">
        <f t="shared" si="7"/>
        <v>0</v>
      </c>
      <c r="K17" s="343" t="str">
        <f t="shared" si="8"/>
        <v>0</v>
      </c>
      <c r="L17" s="343" t="str">
        <f t="shared" si="9"/>
        <v>0</v>
      </c>
      <c r="M17" s="343" t="str">
        <f t="shared" si="10"/>
        <v>4</v>
      </c>
      <c r="N17" s="343" t="str">
        <f t="shared" si="11"/>
        <v>5</v>
      </c>
      <c r="O17" s="343" t="str">
        <f t="shared" si="12"/>
        <v>0</v>
      </c>
      <c r="P17" s="343" t="str">
        <f t="shared" si="13"/>
        <v>0</v>
      </c>
      <c r="Q17" s="343" t="str">
        <f t="shared" si="14"/>
        <v>0</v>
      </c>
      <c r="R17" s="343" t="str">
        <f t="shared" si="15"/>
        <v>0</v>
      </c>
      <c r="S17" s="343" t="str">
        <f t="shared" si="16"/>
        <v>0</v>
      </c>
      <c r="T17" s="343" t="str">
        <f t="shared" si="17"/>
        <v>0</v>
      </c>
      <c r="U17" s="343" t="str">
        <f t="shared" si="18"/>
        <v>0</v>
      </c>
      <c r="V17" s="46">
        <f>[2]!e5aEDthkI(ThEDtbl,J17:U17)</f>
        <v>148.82999999999998</v>
      </c>
      <c r="W17" s="46"/>
      <c r="X17" s="177"/>
      <c r="Y17" s="381">
        <v>1.9769999999999999E-6</v>
      </c>
      <c r="Z17" s="257">
        <v>8.2170000000000001E-8</v>
      </c>
      <c r="AA17" s="257">
        <v>1.417E-8</v>
      </c>
      <c r="AB17" s="257">
        <v>4.2780000000000001E-10</v>
      </c>
      <c r="AC17" s="251">
        <v>27.74</v>
      </c>
      <c r="AD17" s="382">
        <v>1008</v>
      </c>
      <c r="AE17" s="46"/>
      <c r="AF17" s="391">
        <f t="shared" si="19"/>
        <v>1.0237520951719064</v>
      </c>
      <c r="AG17" s="391">
        <f t="shared" si="1"/>
        <v>4.2550181922243573E-2</v>
      </c>
      <c r="AH17" s="344">
        <f t="shared" si="20"/>
        <v>839.17000000000007</v>
      </c>
      <c r="AI17" s="418">
        <f>[1]!srRng2E($C$13,AH17)</f>
        <v>49.743679858590177</v>
      </c>
      <c r="AJ17" s="124">
        <f>[1]!srE2Rng($C$14,AI17)/1000</f>
        <v>1640.6508470353763</v>
      </c>
      <c r="AK17" s="252">
        <f>[1]!srEnewGas($C$14,AI17,$C$21,$AD17*100,$AC17)</f>
        <v>46.641432258294813</v>
      </c>
      <c r="AL17" s="252">
        <f>[1]!srE2LETt($C$12,AK17,0)</f>
        <v>12.535952818604335</v>
      </c>
      <c r="AM17" s="252">
        <f>[1]!srEnew($C$15,AK17,$C$33)</f>
        <v>46.542225909088465</v>
      </c>
      <c r="AN17" s="252">
        <f>[1]!srE2LETt($C$14,AM17,0)</f>
        <v>13.946979434943589</v>
      </c>
      <c r="AO17" s="161">
        <f>[1]!srEnewGas($C$14,AM17,$C$34,AD17*100,AC17)</f>
        <v>46.50376447060426</v>
      </c>
      <c r="AP17" s="372">
        <f t="shared" si="21"/>
        <v>3.2307608326732407</v>
      </c>
      <c r="AQ17" s="252">
        <f t="shared" ca="1" si="22"/>
        <v>3.329149025950497</v>
      </c>
      <c r="AR17" s="349">
        <f t="shared" ca="1" si="23"/>
        <v>0.1299745774875132</v>
      </c>
      <c r="AS17" s="252">
        <f t="shared" ca="1" si="24"/>
        <v>9.8388193277256342E-2</v>
      </c>
      <c r="AT17" s="419">
        <f t="shared" si="2"/>
        <v>1.384124151425605E-8</v>
      </c>
      <c r="AU17" s="349">
        <f t="shared" ca="1" si="3"/>
        <v>3.2624744103776115</v>
      </c>
      <c r="AV17" s="349">
        <f t="shared" ca="1" si="25"/>
        <v>0.12730672740402993</v>
      </c>
      <c r="AW17" s="252">
        <f t="shared" ca="1" si="4"/>
        <v>3.1713577704370888E-2</v>
      </c>
      <c r="AX17" s="45"/>
      <c r="AY17" s="45"/>
      <c r="AZ17" s="13">
        <f>[1]!srRng2E($C$13,AZ$11-$V17)</f>
        <v>49.372953591002918</v>
      </c>
      <c r="BA17" s="372">
        <f>[2]!e5adE_ICs(AZ17,$C$14,$C$15,$C$21,$AD17,$AC17,$C$33,$C$34)*$C$7</f>
        <v>3.2307608326732407</v>
      </c>
      <c r="BB17" s="252">
        <f t="shared" ca="1" si="26"/>
        <v>-1.6977213837582485</v>
      </c>
      <c r="BC17" s="45"/>
      <c r="BD17" s="13">
        <f>[1]!srRng2E($C$13,BD$11-$V17)</f>
        <v>49.558316724796548</v>
      </c>
      <c r="BE17" s="372">
        <f>[2]!e5adE_ICs(BD17,$C$14,$C$15,$C$21,$AD17,$AC17,$C$33,$C$34)*$C$7</f>
        <v>3.2307608326732407</v>
      </c>
      <c r="BF17" s="252">
        <f t="shared" ca="1" si="27"/>
        <v>-0.82216860950193338</v>
      </c>
      <c r="BG17" s="45"/>
      <c r="BH17" s="13">
        <f>[1]!srRng2E($C$13,BH$11-$V17)</f>
        <v>49.929042992383799</v>
      </c>
      <c r="BI17" s="372">
        <f>[2]!e5adE_ICs(BH17,$C$14,$C$15,$C$21,$AD17,$AC17,$C$33,$C$34)*$C$7</f>
        <v>3.2307608326726438</v>
      </c>
      <c r="BJ17" s="252">
        <f t="shared" ca="1" si="28"/>
        <v>3.1066809796746142E-2</v>
      </c>
      <c r="BK17" s="45"/>
      <c r="BL17" s="13">
        <f>[1]!srRng2E($C$13,BL$11-$V17)</f>
        <v>50.114406126177428</v>
      </c>
      <c r="BM17" s="372">
        <f>[2]!e5adE_ICs(BL17,$C$14,$C$15,$C$21,$AD17,$AC17,$C$33,$C$34)*$C$7</f>
        <v>3.2307608326732407</v>
      </c>
      <c r="BN17" s="252">
        <f t="shared" ca="1" si="29"/>
        <v>-0.72692374778035518</v>
      </c>
      <c r="BO17" s="45"/>
      <c r="BP17" s="123">
        <f t="shared" si="30"/>
        <v>3.2307608326732407</v>
      </c>
      <c r="BQ17" s="123">
        <f t="shared" si="31"/>
        <v>3.2307608326732407</v>
      </c>
      <c r="BR17" s="123">
        <f t="shared" si="32"/>
        <v>3.2307608326732407</v>
      </c>
      <c r="BS17" s="123">
        <f t="shared" si="33"/>
        <v>3.2307608326726438</v>
      </c>
      <c r="BT17" s="123">
        <f t="shared" si="34"/>
        <v>3.2307608326732407</v>
      </c>
      <c r="BU17" s="45"/>
      <c r="BV17" s="123">
        <f t="shared" ca="1" si="35"/>
        <v>-1.6977213837582485</v>
      </c>
      <c r="BW17" s="123">
        <f t="shared" ca="1" si="36"/>
        <v>-0.82216860950193338</v>
      </c>
      <c r="BX17" s="123">
        <f t="shared" ca="1" si="5"/>
        <v>3.1713577704370888E-2</v>
      </c>
      <c r="BY17" s="123">
        <f t="shared" ca="1" si="37"/>
        <v>3.1066809796746142E-2</v>
      </c>
      <c r="BZ17" s="123">
        <f t="shared" ca="1" si="38"/>
        <v>-0.72692374778035518</v>
      </c>
      <c r="CA17" s="142"/>
    </row>
    <row r="18" spans="2:79">
      <c r="F18" s="123">
        <f t="shared" si="6"/>
        <v>224.83999999999997</v>
      </c>
      <c r="G18" s="373" t="s">
        <v>257</v>
      </c>
      <c r="H18" s="444">
        <v>4</v>
      </c>
      <c r="I18" s="298"/>
      <c r="J18" s="343" t="str">
        <f t="shared" si="7"/>
        <v>0</v>
      </c>
      <c r="K18" s="343" t="str">
        <f t="shared" si="8"/>
        <v>0</v>
      </c>
      <c r="L18" s="343" t="str">
        <f t="shared" si="9"/>
        <v>3</v>
      </c>
      <c r="M18" s="343" t="str">
        <f t="shared" si="10"/>
        <v>0</v>
      </c>
      <c r="N18" s="343" t="str">
        <f t="shared" si="11"/>
        <v>5</v>
      </c>
      <c r="O18" s="343" t="str">
        <f t="shared" si="12"/>
        <v>6</v>
      </c>
      <c r="P18" s="343" t="str">
        <f t="shared" si="13"/>
        <v>0</v>
      </c>
      <c r="Q18" s="343" t="str">
        <f t="shared" si="14"/>
        <v>0</v>
      </c>
      <c r="R18" s="343" t="str">
        <f t="shared" si="15"/>
        <v>0</v>
      </c>
      <c r="S18" s="343" t="str">
        <f t="shared" si="16"/>
        <v>0</v>
      </c>
      <c r="T18" s="343" t="str">
        <f t="shared" si="17"/>
        <v>0</v>
      </c>
      <c r="U18" s="343" t="str">
        <f t="shared" si="18"/>
        <v>0</v>
      </c>
      <c r="V18" s="46">
        <f>[2]!e5aEDthkI(ThEDtbl,J18:U18)</f>
        <v>224.83999999999997</v>
      </c>
      <c r="W18" s="46"/>
      <c r="X18" s="177"/>
      <c r="Y18" s="381">
        <v>2.0020000000000001E-6</v>
      </c>
      <c r="Z18" s="257">
        <v>5.3349999999999998E-8</v>
      </c>
      <c r="AA18" s="257">
        <v>1.475E-8</v>
      </c>
      <c r="AB18" s="257">
        <v>4.4520000000000002E-10</v>
      </c>
      <c r="AC18" s="251">
        <v>27.7</v>
      </c>
      <c r="AD18" s="382">
        <v>1008</v>
      </c>
      <c r="AE18" s="46"/>
      <c r="AF18" s="391">
        <f t="shared" si="19"/>
        <v>1.0366978728043281</v>
      </c>
      <c r="AG18" s="391">
        <f t="shared" si="1"/>
        <v>2.7626289467587863E-2</v>
      </c>
      <c r="AH18" s="344">
        <f t="shared" si="20"/>
        <v>763.16000000000008</v>
      </c>
      <c r="AI18" s="418">
        <f>[1]!srRng2E($C$13,AH18)</f>
        <v>46.880822895546338</v>
      </c>
      <c r="AJ18" s="124">
        <f>[1]!srE2Rng($C$14,AI18)/1000</f>
        <v>1492.7934739355353</v>
      </c>
      <c r="AK18" s="252">
        <f>[1]!srEnewGas($C$14,AI18,$C$21,$AD18*100,$AC18)</f>
        <v>43.640509139907671</v>
      </c>
      <c r="AL18" s="252">
        <f>[1]!srE2LETt($C$12,AK18,0)</f>
        <v>13.114424348888511</v>
      </c>
      <c r="AM18" s="252">
        <f>[1]!srEnew($C$15,AK18,$C$33)</f>
        <v>43.536455631431473</v>
      </c>
      <c r="AN18" s="252">
        <f>[1]!srE2LETt($C$14,AM18,0)</f>
        <v>14.615981094063233</v>
      </c>
      <c r="AO18" s="161">
        <f>[1]!srEnewGas($C$14,AM18,$C$34,AD18*100,AC18)</f>
        <v>43.495241468373791</v>
      </c>
      <c r="AP18" s="372">
        <f t="shared" si="21"/>
        <v>3.4619896968452224</v>
      </c>
      <c r="AQ18" s="252">
        <f t="shared" ca="1" si="22"/>
        <v>3.505365143161244</v>
      </c>
      <c r="AR18" s="349">
        <f t="shared" ca="1" si="23"/>
        <v>0.13526106100383564</v>
      </c>
      <c r="AS18" s="252">
        <f t="shared" ca="1" si="24"/>
        <v>4.3375446316021637E-2</v>
      </c>
      <c r="AT18" s="419">
        <f t="shared" si="2"/>
        <v>1.4227867527209631E-8</v>
      </c>
      <c r="AU18" s="349">
        <f t="shared" ca="1" si="3"/>
        <v>3.3775283898969866</v>
      </c>
      <c r="AV18" s="349">
        <f t="shared" ca="1" si="25"/>
        <v>0.13248470088890632</v>
      </c>
      <c r="AW18" s="252">
        <f t="shared" ca="1" si="4"/>
        <v>-8.4461306948235837E-2</v>
      </c>
      <c r="AX18" s="45"/>
      <c r="AY18" s="45"/>
      <c r="AZ18" s="13">
        <f>[1]!srRng2E($C$13,AZ$11-$V18)</f>
        <v>46.486050316133884</v>
      </c>
      <c r="BA18" s="372">
        <f>[2]!e5adE_ICs(AZ18,$C$14,$C$15,$C$21,$AD18,$AC18,$C$33,$C$34)*$C$7</f>
        <v>3.4619896968458193</v>
      </c>
      <c r="BB18" s="252">
        <f t="shared" ca="1" si="26"/>
        <v>-1.830952293912002</v>
      </c>
      <c r="BC18" s="45"/>
      <c r="BD18" s="13">
        <f>[1]!srRng2E($C$13,BD$11-$V18)</f>
        <v>46.683436605840114</v>
      </c>
      <c r="BE18" s="372">
        <f>[2]!e5adE_ICs(BD18,$C$14,$C$15,$C$21,$AD18,$AC18,$C$33,$C$34)*$C$7</f>
        <v>3.4619896968458193</v>
      </c>
      <c r="BF18" s="252">
        <f t="shared" ca="1" si="27"/>
        <v>-0.94190797003330617</v>
      </c>
      <c r="BG18" s="45"/>
      <c r="BH18" s="13">
        <f>[1]!srRng2E($C$13,BH$11-$V18)</f>
        <v>47.078209185252561</v>
      </c>
      <c r="BI18" s="372">
        <f>[2]!e5adE_ICs(BH18,$C$14,$C$15,$C$21,$AD18,$AC18,$C$33,$C$34)*$C$7</f>
        <v>3.4619896968458193</v>
      </c>
      <c r="BJ18" s="252">
        <f t="shared" ca="1" si="28"/>
        <v>-9.2784377724781653E-2</v>
      </c>
      <c r="BK18" s="45"/>
      <c r="BL18" s="13">
        <f>[1]!srRng2E($C$13,BL$11-$V18)</f>
        <v>47.275595474958791</v>
      </c>
      <c r="BM18" s="372">
        <f>[2]!e5adE_ICs(BL18,$C$14,$C$15,$C$21,$AD18,$AC18,$C$33,$C$34)*$C$7</f>
        <v>3.4619896968458193</v>
      </c>
      <c r="BN18" s="252">
        <f t="shared" ca="1" si="29"/>
        <v>-0.86510569873917609</v>
      </c>
      <c r="BO18" s="45"/>
      <c r="BP18" s="123">
        <f t="shared" si="30"/>
        <v>3.4619896968458193</v>
      </c>
      <c r="BQ18" s="123">
        <f t="shared" si="31"/>
        <v>3.4619896968458193</v>
      </c>
      <c r="BR18" s="123">
        <f t="shared" si="32"/>
        <v>3.4619896968452224</v>
      </c>
      <c r="BS18" s="123">
        <f t="shared" si="33"/>
        <v>3.4619896968458193</v>
      </c>
      <c r="BT18" s="123">
        <f t="shared" si="34"/>
        <v>3.4619896968458193</v>
      </c>
      <c r="BU18" s="45"/>
      <c r="BV18" s="123">
        <f t="shared" ca="1" si="35"/>
        <v>-1.830952293912002</v>
      </c>
      <c r="BW18" s="123">
        <f t="shared" ca="1" si="36"/>
        <v>-0.94190797003330617</v>
      </c>
      <c r="BX18" s="123">
        <f t="shared" ca="1" si="5"/>
        <v>-8.4461306948235837E-2</v>
      </c>
      <c r="BY18" s="123">
        <f t="shared" ca="1" si="37"/>
        <v>-9.2784377724781653E-2</v>
      </c>
      <c r="BZ18" s="123">
        <f t="shared" ca="1" si="38"/>
        <v>-0.86510569873917609</v>
      </c>
      <c r="CA18" s="142"/>
    </row>
    <row r="19" spans="2:79">
      <c r="B19" s="168" t="s">
        <v>104</v>
      </c>
      <c r="C19" s="178" t="s">
        <v>2</v>
      </c>
      <c r="D19" s="152" t="s">
        <v>98</v>
      </c>
      <c r="F19" s="123">
        <f t="shared" si="6"/>
        <v>302.11</v>
      </c>
      <c r="G19" s="260" t="s">
        <v>210</v>
      </c>
      <c r="H19" s="444">
        <v>5</v>
      </c>
      <c r="I19" s="298"/>
      <c r="J19" s="343" t="str">
        <f t="shared" si="7"/>
        <v>0</v>
      </c>
      <c r="K19" s="343" t="str">
        <f t="shared" si="8"/>
        <v>0</v>
      </c>
      <c r="L19" s="343" t="str">
        <f t="shared" si="9"/>
        <v>0</v>
      </c>
      <c r="M19" s="343" t="str">
        <f t="shared" si="10"/>
        <v>0</v>
      </c>
      <c r="N19" s="343" t="str">
        <f t="shared" si="11"/>
        <v>5</v>
      </c>
      <c r="O19" s="343" t="str">
        <f t="shared" si="12"/>
        <v>0</v>
      </c>
      <c r="P19" s="343" t="str">
        <f t="shared" si="13"/>
        <v>7</v>
      </c>
      <c r="Q19" s="343" t="str">
        <f t="shared" si="14"/>
        <v>0</v>
      </c>
      <c r="R19" s="343" t="str">
        <f t="shared" si="15"/>
        <v>0</v>
      </c>
      <c r="S19" s="343" t="str">
        <f t="shared" si="16"/>
        <v>A</v>
      </c>
      <c r="T19" s="343" t="str">
        <f t="shared" si="17"/>
        <v>0</v>
      </c>
      <c r="U19" s="343" t="str">
        <f t="shared" si="18"/>
        <v>0</v>
      </c>
      <c r="V19" s="46">
        <f>[2]!e5aEDthkI(ThEDtbl,J19:U19)</f>
        <v>302.11</v>
      </c>
      <c r="W19" s="46"/>
      <c r="X19" s="177"/>
      <c r="Y19" s="381">
        <v>2.0150000000000002E-6</v>
      </c>
      <c r="Z19" s="257">
        <v>6.3510000000000004E-8</v>
      </c>
      <c r="AA19" s="257">
        <v>1.5390000000000001E-8</v>
      </c>
      <c r="AB19" s="257">
        <v>4.1169999999999998E-10</v>
      </c>
      <c r="AC19" s="251">
        <v>27.7</v>
      </c>
      <c r="AD19" s="382">
        <v>1008</v>
      </c>
      <c r="AE19" s="46"/>
      <c r="AF19" s="391">
        <f t="shared" si="19"/>
        <v>1.0434296771731875</v>
      </c>
      <c r="AG19" s="391">
        <f t="shared" si="1"/>
        <v>3.2887453497404039E-2</v>
      </c>
      <c r="AH19" s="344">
        <f t="shared" si="20"/>
        <v>685.89</v>
      </c>
      <c r="AI19" s="418">
        <f>[1]!srRng2E($C$13,AH19)</f>
        <v>43.792517006802719</v>
      </c>
      <c r="AJ19" s="124">
        <f>[1]!srE2Rng($C$14,AI19)/1000</f>
        <v>1339.9999999999998</v>
      </c>
      <c r="AK19" s="252">
        <f>[1]!srEnewGas($C$14,AI19,$C$21,$AD19*100,$AC19)</f>
        <v>40.392348554543389</v>
      </c>
      <c r="AL19" s="252">
        <f>[1]!srE2LETt($C$12,AK19,0)</f>
        <v>13.82573931649655</v>
      </c>
      <c r="AM19" s="252">
        <f>[1]!srEnew($C$15,AK19,$C$33)</f>
        <v>40.28270808756271</v>
      </c>
      <c r="AN19" s="252">
        <f>[1]!srE2LETt($C$14,AM19,0)</f>
        <v>15.423530549391376</v>
      </c>
      <c r="AO19" s="161">
        <f>[1]!srEnewGas($C$14,AM19,$C$34,AD19*100,AC19)</f>
        <v>40.241493924505022</v>
      </c>
      <c r="AP19" s="372">
        <f t="shared" si="21"/>
        <v>3.4619896968458193</v>
      </c>
      <c r="AQ19" s="252">
        <f t="shared" ca="1" si="22"/>
        <v>3.6998105138765514</v>
      </c>
      <c r="AR19" s="349">
        <f t="shared" ca="1" si="23"/>
        <v>0.12508306113045625</v>
      </c>
      <c r="AS19" s="252">
        <f t="shared" ca="1" si="24"/>
        <v>0.2378208170307321</v>
      </c>
      <c r="AT19" s="419">
        <f t="shared" si="2"/>
        <v>1.4749436724565754E-8</v>
      </c>
      <c r="AU19" s="349">
        <f t="shared" ca="1" si="3"/>
        <v>3.532739394175048</v>
      </c>
      <c r="AV19" s="349">
        <f t="shared" ca="1" si="25"/>
        <v>0.12251561400710406</v>
      </c>
      <c r="AW19" s="252">
        <f t="shared" ca="1" si="4"/>
        <v>7.0749697329228756E-2</v>
      </c>
      <c r="AX19" s="45"/>
      <c r="AY19" s="45"/>
      <c r="AZ19" s="13">
        <f>[1]!srRng2E($C$13,AZ$11-$V19)</f>
        <v>43.379329379954122</v>
      </c>
      <c r="BA19" s="372">
        <f>[2]!e5adE_ICs(AZ19,$C$14,$C$15,$C$21,$AD19,$AC19,$C$33,$C$34)*$C$7</f>
        <v>3.4619896968458193</v>
      </c>
      <c r="BB19" s="252">
        <f t="shared" ca="1" si="26"/>
        <v>-1.6987503403246791</v>
      </c>
      <c r="BC19" s="45"/>
      <c r="BD19" s="13">
        <f>[1]!srRng2E($C$13,BD$11-$V19)</f>
        <v>43.58592319337842</v>
      </c>
      <c r="BE19" s="372">
        <f>[2]!e5adE_ICs(BD19,$C$14,$C$15,$C$21,$AD19,$AC19,$C$33,$C$34)*$C$7</f>
        <v>3.4619896968458193</v>
      </c>
      <c r="BF19" s="252">
        <f t="shared" ca="1" si="27"/>
        <v>-0.79150554241714355</v>
      </c>
      <c r="BG19" s="45"/>
      <c r="BH19" s="13">
        <f>[1]!srRng2E($C$13,BH$11-$V19)</f>
        <v>43.999110820227024</v>
      </c>
      <c r="BI19" s="372">
        <f>[2]!e5adE_ICs(BH19,$C$14,$C$15,$C$21,$AD19,$AC19,$C$33,$C$34)*$C$7</f>
        <v>3.4619896968458193</v>
      </c>
      <c r="BJ19" s="252">
        <f t="shared" ca="1" si="28"/>
        <v>5.2071081423771481E-2</v>
      </c>
      <c r="BK19" s="45"/>
      <c r="BL19" s="13">
        <f>[1]!srRng2E($C$13,BL$11-$V19)</f>
        <v>44.205704633651322</v>
      </c>
      <c r="BM19" s="372">
        <f>[2]!e5adE_ICs(BL19,$C$14,$C$15,$C$21,$AD19,$AC19,$C$33,$C$34)*$C$7</f>
        <v>3.4619896968458193</v>
      </c>
      <c r="BN19" s="252">
        <f t="shared" ca="1" si="29"/>
        <v>-0.73958283629486576</v>
      </c>
      <c r="BO19" s="45"/>
      <c r="BP19" s="123">
        <f t="shared" si="30"/>
        <v>3.4619896968458193</v>
      </c>
      <c r="BQ19" s="123">
        <f t="shared" si="31"/>
        <v>3.4619896968458193</v>
      </c>
      <c r="BR19" s="123">
        <f t="shared" si="32"/>
        <v>3.4619896968458193</v>
      </c>
      <c r="BS19" s="123">
        <f t="shared" si="33"/>
        <v>3.4619896968458193</v>
      </c>
      <c r="BT19" s="123">
        <f t="shared" si="34"/>
        <v>3.4619896968458193</v>
      </c>
      <c r="BU19" s="45"/>
      <c r="BV19" s="123">
        <f t="shared" ca="1" si="35"/>
        <v>-1.6987503403246791</v>
      </c>
      <c r="BW19" s="123">
        <f t="shared" ca="1" si="36"/>
        <v>-0.79150554241714355</v>
      </c>
      <c r="BX19" s="123">
        <f t="shared" ca="1" si="5"/>
        <v>7.0749697329228756E-2</v>
      </c>
      <c r="BY19" s="123">
        <f t="shared" ca="1" si="37"/>
        <v>5.2071081423771481E-2</v>
      </c>
      <c r="BZ19" s="123">
        <f t="shared" ca="1" si="38"/>
        <v>-0.73958283629486576</v>
      </c>
      <c r="CA19" s="142"/>
    </row>
    <row r="20" spans="2:79">
      <c r="B20" s="194" t="s">
        <v>59</v>
      </c>
      <c r="C20" s="102">
        <v>145</v>
      </c>
      <c r="D20" s="165">
        <f>ThAir1</f>
        <v>145</v>
      </c>
      <c r="F20" s="123">
        <f t="shared" si="6"/>
        <v>369.58</v>
      </c>
      <c r="G20" s="260" t="s">
        <v>258</v>
      </c>
      <c r="H20" s="444">
        <v>6</v>
      </c>
      <c r="I20" s="298"/>
      <c r="J20" s="343" t="str">
        <f t="shared" si="7"/>
        <v>0</v>
      </c>
      <c r="K20" s="343" t="str">
        <f t="shared" si="8"/>
        <v>0</v>
      </c>
      <c r="L20" s="343" t="str">
        <f t="shared" si="9"/>
        <v>3</v>
      </c>
      <c r="M20" s="343" t="str">
        <f t="shared" si="10"/>
        <v>4</v>
      </c>
      <c r="N20" s="343" t="str">
        <f t="shared" si="11"/>
        <v>0</v>
      </c>
      <c r="O20" s="343" t="str">
        <f t="shared" si="12"/>
        <v>6</v>
      </c>
      <c r="P20" s="343" t="str">
        <f t="shared" si="13"/>
        <v>7</v>
      </c>
      <c r="Q20" s="343" t="str">
        <f t="shared" si="14"/>
        <v>0</v>
      </c>
      <c r="R20" s="343" t="str">
        <f t="shared" si="15"/>
        <v>0</v>
      </c>
      <c r="S20" s="343" t="str">
        <f t="shared" si="16"/>
        <v>0</v>
      </c>
      <c r="T20" s="343" t="str">
        <f t="shared" si="17"/>
        <v>0</v>
      </c>
      <c r="U20" s="343" t="str">
        <f t="shared" si="18"/>
        <v>0</v>
      </c>
      <c r="V20" s="46">
        <f>[2]!e5aEDthkI(ThEDtbl,J20:U20)</f>
        <v>369.58</v>
      </c>
      <c r="W20" s="46"/>
      <c r="X20" s="177"/>
      <c r="Y20" s="381">
        <v>1.9690000000000001E-6</v>
      </c>
      <c r="Z20" s="257">
        <v>6.5540000000000003E-8</v>
      </c>
      <c r="AA20" s="257">
        <v>1.583E-8</v>
      </c>
      <c r="AB20" s="257">
        <v>5.8409999999999998E-10</v>
      </c>
      <c r="AC20" s="251">
        <v>27.69</v>
      </c>
      <c r="AD20" s="382">
        <v>1008</v>
      </c>
      <c r="AE20" s="46"/>
      <c r="AF20" s="391">
        <f t="shared" si="19"/>
        <v>1.0196094463295315</v>
      </c>
      <c r="AG20" s="391">
        <f t="shared" si="1"/>
        <v>3.3938650641156677E-2</v>
      </c>
      <c r="AH20" s="344">
        <f t="shared" si="20"/>
        <v>618.42000000000007</v>
      </c>
      <c r="AI20" s="418">
        <f>[1]!srRng2E($C$13,AH20)</f>
        <v>40.971846331071049</v>
      </c>
      <c r="AJ20" s="124">
        <f>[1]!srE2Rng($C$14,AI20)/1000</f>
        <v>1207.3156514135824</v>
      </c>
      <c r="AK20" s="252">
        <f>[1]!srEnewGas($C$14,AI20,$C$21,$AD20*100,$AC20)</f>
        <v>37.433171536964764</v>
      </c>
      <c r="AL20" s="252">
        <f>[1]!srE2LETt($C$12,AK20,0)</f>
        <v>14.555959422416976</v>
      </c>
      <c r="AM20" s="252">
        <f>[1]!srEnew($C$15,AK20,$C$33)</f>
        <v>37.317523956774735</v>
      </c>
      <c r="AN20" s="252">
        <f>[1]!srE2LETt($C$14,AM20,0)</f>
        <v>16.261792878647817</v>
      </c>
      <c r="AO20" s="161">
        <f>[1]!srEnewGas($C$14,AM20,$C$34,AD20*100,AC20)</f>
        <v>37.271210652145072</v>
      </c>
      <c r="AP20" s="372">
        <f t="shared" si="21"/>
        <v>3.890317588891719</v>
      </c>
      <c r="AQ20" s="252">
        <f t="shared" ca="1" si="22"/>
        <v>3.8334917062433251</v>
      </c>
      <c r="AR20" s="349">
        <f t="shared" ca="1" si="23"/>
        <v>0.17746178286689215</v>
      </c>
      <c r="AS20" s="252">
        <f t="shared" ca="1" si="24"/>
        <v>-5.6825882648393833E-2</v>
      </c>
      <c r="AT20" s="419">
        <f t="shared" si="2"/>
        <v>1.5525552511293468E-8</v>
      </c>
      <c r="AU20" s="349">
        <f t="shared" ca="1" si="3"/>
        <v>3.7636995645698801</v>
      </c>
      <c r="AV20" s="349">
        <f t="shared" ca="1" si="25"/>
        <v>0.17381921336300579</v>
      </c>
      <c r="AW20" s="252">
        <f t="shared" ca="1" si="4"/>
        <v>-0.12661802432183888</v>
      </c>
      <c r="AX20" s="45"/>
      <c r="AY20" s="45"/>
      <c r="AZ20" s="13">
        <f>[1]!srRng2E($C$13,AZ$11-$V20)</f>
        <v>40.538125772022596</v>
      </c>
      <c r="BA20" s="372">
        <f>[2]!e5adE_ICs(AZ20,$C$14,$C$15,$C$21,$AD20,$AC20,$C$33,$C$34)*$C$7</f>
        <v>3.8903175888911221</v>
      </c>
      <c r="BB20" s="252">
        <f t="shared" ca="1" si="26"/>
        <v>-1.9303564479251301</v>
      </c>
      <c r="BC20" s="45"/>
      <c r="BD20" s="13">
        <f>[1]!srRng2E($C$13,BD$11-$V20)</f>
        <v>40.754986051546823</v>
      </c>
      <c r="BE20" s="372">
        <f>[2]!e5adE_ICs(BD20,$C$14,$C$15,$C$21,$AD20,$AC20,$C$33,$C$34)*$C$7</f>
        <v>3.890317588891719</v>
      </c>
      <c r="BF20" s="252">
        <f t="shared" ca="1" si="27"/>
        <v>-0.99602861809967669</v>
      </c>
      <c r="BG20" s="45"/>
      <c r="BH20" s="13">
        <f>[1]!srRng2E($C$13,BH$11-$V20)</f>
        <v>41.188706610595268</v>
      </c>
      <c r="BI20" s="372">
        <f>[2]!e5adE_ICs(BH20,$C$14,$C$15,$C$21,$AD20,$AC20,$C$33,$C$34)*$C$7</f>
        <v>3.8903175888911221</v>
      </c>
      <c r="BJ20" s="252">
        <f t="shared" ca="1" si="28"/>
        <v>-0.16070610477315572</v>
      </c>
      <c r="BK20" s="45"/>
      <c r="BL20" s="13">
        <f>[1]!srRng2E($C$13,BL$11-$V20)</f>
        <v>41.405566890119495</v>
      </c>
      <c r="BM20" s="372">
        <f>[2]!e5adE_ICs(BL20,$C$14,$C$15,$C$21,$AD20,$AC20,$C$33,$C$34)*$C$7</f>
        <v>3.890317588891719</v>
      </c>
      <c r="BN20" s="252">
        <f t="shared" ca="1" si="29"/>
        <v>-0.98112769814628376</v>
      </c>
      <c r="BO20" s="45"/>
      <c r="BP20" s="123">
        <f t="shared" si="30"/>
        <v>3.8903175888911221</v>
      </c>
      <c r="BQ20" s="123">
        <f t="shared" si="31"/>
        <v>3.890317588891719</v>
      </c>
      <c r="BR20" s="123">
        <f t="shared" si="32"/>
        <v>3.890317588891719</v>
      </c>
      <c r="BS20" s="123">
        <f t="shared" si="33"/>
        <v>3.8903175888911221</v>
      </c>
      <c r="BT20" s="123">
        <f t="shared" si="34"/>
        <v>3.890317588891719</v>
      </c>
      <c r="BU20" s="45"/>
      <c r="BV20" s="123">
        <f t="shared" ca="1" si="35"/>
        <v>-1.9303564479251301</v>
      </c>
      <c r="BW20" s="123">
        <f t="shared" ca="1" si="36"/>
        <v>-0.99602861809967669</v>
      </c>
      <c r="BX20" s="123">
        <f t="shared" ca="1" si="5"/>
        <v>-0.12661802432183888</v>
      </c>
      <c r="BY20" s="123">
        <f t="shared" ca="1" si="37"/>
        <v>-0.16070610477315572</v>
      </c>
      <c r="BZ20" s="123">
        <f t="shared" ca="1" si="38"/>
        <v>-0.98112769814628376</v>
      </c>
      <c r="CA20" s="142"/>
    </row>
    <row r="21" spans="2:79">
      <c r="B21" s="137" t="s">
        <v>62</v>
      </c>
      <c r="C21" s="386">
        <v>165</v>
      </c>
      <c r="D21" s="167">
        <f>ThAir2</f>
        <v>165</v>
      </c>
      <c r="F21" s="123">
        <f t="shared" si="6"/>
        <v>434.03</v>
      </c>
      <c r="G21" s="260" t="s">
        <v>211</v>
      </c>
      <c r="H21" s="444">
        <v>7</v>
      </c>
      <c r="I21" s="298"/>
      <c r="J21" s="343" t="str">
        <f t="shared" si="7"/>
        <v>0</v>
      </c>
      <c r="K21" s="343" t="str">
        <f t="shared" si="8"/>
        <v>2</v>
      </c>
      <c r="L21" s="343" t="str">
        <f t="shared" si="9"/>
        <v>3</v>
      </c>
      <c r="M21" s="343" t="str">
        <f t="shared" si="10"/>
        <v>0</v>
      </c>
      <c r="N21" s="343" t="str">
        <f t="shared" si="11"/>
        <v>5</v>
      </c>
      <c r="O21" s="343" t="str">
        <f t="shared" si="12"/>
        <v>6</v>
      </c>
      <c r="P21" s="343" t="str">
        <f t="shared" si="13"/>
        <v>7</v>
      </c>
      <c r="Q21" s="343" t="str">
        <f t="shared" si="14"/>
        <v>0</v>
      </c>
      <c r="R21" s="343" t="str">
        <f t="shared" si="15"/>
        <v>0</v>
      </c>
      <c r="S21" s="343" t="str">
        <f t="shared" si="16"/>
        <v>0</v>
      </c>
      <c r="T21" s="343" t="str">
        <f t="shared" si="17"/>
        <v>0</v>
      </c>
      <c r="U21" s="343" t="str">
        <f t="shared" si="18"/>
        <v>0</v>
      </c>
      <c r="V21" s="46">
        <f>[2]!e5aEDthkI(ThEDtbl,J21:U21)</f>
        <v>434.03</v>
      </c>
      <c r="W21" s="46"/>
      <c r="X21" s="177"/>
      <c r="Y21" s="381">
        <v>1.9470000000000002E-6</v>
      </c>
      <c r="Z21" s="257">
        <v>6.4049999999999995E-8</v>
      </c>
      <c r="AA21" s="257">
        <v>1.6820000000000001E-8</v>
      </c>
      <c r="AB21" s="257">
        <v>5.3470000000000003E-10</v>
      </c>
      <c r="AC21" s="251">
        <v>27.7</v>
      </c>
      <c r="AD21" s="382">
        <v>1008</v>
      </c>
      <c r="AE21" s="46"/>
      <c r="AF21" s="391">
        <f>Y21/Y$9</f>
        <v>1.0082171620130005</v>
      </c>
      <c r="AG21" s="391">
        <f t="shared" si="1"/>
        <v>3.3167082294264343E-2</v>
      </c>
      <c r="AH21" s="344">
        <f t="shared" si="20"/>
        <v>553.97</v>
      </c>
      <c r="AI21" s="418">
        <f>[1]!srRng2E($C$13,AH21)</f>
        <v>38.149226080855911</v>
      </c>
      <c r="AJ21" s="124">
        <f>[1]!srE2Rng($C$14,AI21)/1000</f>
        <v>1077.3420580110496</v>
      </c>
      <c r="AK21" s="252">
        <f>[1]!srEnewGas($C$14,AI21,$C$21,$AD21*100,$AC21)</f>
        <v>34.279921977097672</v>
      </c>
      <c r="AL21" s="252">
        <f>[1]!srE2LETt($C$12,AK21,0)</f>
        <v>15.431087366606883</v>
      </c>
      <c r="AM21" s="252">
        <f>[1]!srEnew($C$15,AK21,$C$33)</f>
        <v>34.15745760198439</v>
      </c>
      <c r="AN21" s="252">
        <f>[1]!srE2LETt($C$14,AM21,0)</f>
        <v>17.280715494142786</v>
      </c>
      <c r="AO21" s="161">
        <f>[1]!srEnewGas($C$14,AM21,$C$34,AD21*100,AC21)</f>
        <v>34.109522212534557</v>
      </c>
      <c r="AP21" s="372">
        <f t="shared" si="21"/>
        <v>4.0265727137859813</v>
      </c>
      <c r="AQ21" s="252">
        <f t="shared" ca="1" si="22"/>
        <v>4.1342743890685663</v>
      </c>
      <c r="AR21" s="349">
        <f t="shared" ca="1" si="23"/>
        <v>0.16245303081480439</v>
      </c>
      <c r="AS21" s="252">
        <f t="shared" ca="1" si="24"/>
        <v>0.10770167528258501</v>
      </c>
      <c r="AT21" s="419">
        <f t="shared" si="2"/>
        <v>1.6682913794501661E-8</v>
      </c>
      <c r="AU21" s="349">
        <f t="shared" ca="1" si="3"/>
        <v>4.1081125551948539</v>
      </c>
      <c r="AV21" s="349">
        <f t="shared" ca="1" si="25"/>
        <v>0.15911853002088547</v>
      </c>
      <c r="AW21" s="252">
        <f t="shared" ca="1" si="4"/>
        <v>8.1539841408872604E-2</v>
      </c>
      <c r="AX21" s="45"/>
      <c r="AY21" s="45"/>
      <c r="AZ21" s="13">
        <f>[1]!srRng2E($C$13,AZ$11-$V21)</f>
        <v>37.692474933497031</v>
      </c>
      <c r="BA21" s="372">
        <f>[2]!e5adE_ICs(AZ21,$C$14,$C$15,$C$21,$AD21,$AC21,$C$33,$C$34)*$C$7</f>
        <v>4.0265727137859813</v>
      </c>
      <c r="BB21" s="252">
        <f t="shared" ca="1" si="26"/>
        <v>-1.7732556318977668</v>
      </c>
      <c r="BC21" s="45"/>
      <c r="BD21" s="13">
        <f>[1]!srRng2E($C$13,BD$11-$V21)</f>
        <v>37.920850507176475</v>
      </c>
      <c r="BE21" s="372">
        <f>[2]!e5adE_ICs(BD21,$C$14,$C$15,$C$21,$AD21,$AC21,$C$33,$C$34)*$C$7</f>
        <v>4.0265727137859813</v>
      </c>
      <c r="BF21" s="252">
        <f t="shared" ca="1" si="27"/>
        <v>-0.7985409769221623</v>
      </c>
      <c r="BG21" s="45"/>
      <c r="BH21" s="13">
        <f>[1]!srRng2E($C$13,BH$11-$V21)</f>
        <v>38.377601654535354</v>
      </c>
      <c r="BI21" s="372">
        <f>[2]!e5adE_ICs(BH21,$C$14,$C$15,$C$21,$AD21,$AC21,$C$33,$C$34)*$C$7</f>
        <v>4.0265727137859813</v>
      </c>
      <c r="BJ21" s="252">
        <f t="shared" ca="1" si="28"/>
        <v>2.447282151773944E-2</v>
      </c>
      <c r="BK21" s="45"/>
      <c r="BL21" s="13">
        <f>[1]!srRng2E($C$13,BL$11-$V21)</f>
        <v>38.605977228214797</v>
      </c>
      <c r="BM21" s="372">
        <f>[2]!e5adE_ICs(BL21,$C$14,$C$15,$C$21,$AD21,$AC21,$C$33,$C$34)*$C$7</f>
        <v>4.0265727137859813</v>
      </c>
      <c r="BN21" s="252">
        <f t="shared" ca="1" si="29"/>
        <v>-0.83884777555897561</v>
      </c>
      <c r="BO21" s="45"/>
      <c r="BP21" s="123">
        <f t="shared" si="30"/>
        <v>4.0265727137859813</v>
      </c>
      <c r="BQ21" s="123">
        <f t="shared" si="31"/>
        <v>4.0265727137859813</v>
      </c>
      <c r="BR21" s="123">
        <f t="shared" si="32"/>
        <v>4.0265727137859813</v>
      </c>
      <c r="BS21" s="123">
        <f t="shared" si="33"/>
        <v>4.0265727137859813</v>
      </c>
      <c r="BT21" s="123">
        <f t="shared" si="34"/>
        <v>4.0265727137859813</v>
      </c>
      <c r="BU21" s="45"/>
      <c r="BV21" s="123">
        <f t="shared" ca="1" si="35"/>
        <v>-1.7732556318977668</v>
      </c>
      <c r="BW21" s="123">
        <f t="shared" ca="1" si="36"/>
        <v>-0.7985409769221623</v>
      </c>
      <c r="BX21" s="123">
        <f t="shared" ca="1" si="5"/>
        <v>8.1539841408872604E-2</v>
      </c>
      <c r="BY21" s="123">
        <f t="shared" ca="1" si="37"/>
        <v>2.447282151773944E-2</v>
      </c>
      <c r="BZ21" s="123">
        <f t="shared" ca="1" si="38"/>
        <v>-0.83884777555897561</v>
      </c>
      <c r="CA21" s="142"/>
    </row>
    <row r="22" spans="2:79">
      <c r="C22" s="192" t="s">
        <v>185</v>
      </c>
      <c r="F22" s="123">
        <f t="shared" si="6"/>
        <v>485.95</v>
      </c>
      <c r="G22" s="260" t="s">
        <v>259</v>
      </c>
      <c r="H22" s="444">
        <v>8</v>
      </c>
      <c r="I22" s="298"/>
      <c r="J22" s="343" t="str">
        <f t="shared" si="7"/>
        <v>0</v>
      </c>
      <c r="K22" s="343" t="str">
        <f t="shared" si="8"/>
        <v>0</v>
      </c>
      <c r="L22" s="343" t="str">
        <f t="shared" si="9"/>
        <v>0</v>
      </c>
      <c r="M22" s="343" t="str">
        <f t="shared" si="10"/>
        <v>0</v>
      </c>
      <c r="N22" s="343" t="str">
        <f t="shared" si="11"/>
        <v>0</v>
      </c>
      <c r="O22" s="343" t="str">
        <f t="shared" si="12"/>
        <v>0</v>
      </c>
      <c r="P22" s="343" t="str">
        <f t="shared" si="13"/>
        <v>0</v>
      </c>
      <c r="Q22" s="343" t="str">
        <f t="shared" si="14"/>
        <v>8</v>
      </c>
      <c r="R22" s="343" t="str">
        <f t="shared" si="15"/>
        <v>0</v>
      </c>
      <c r="S22" s="343" t="str">
        <f t="shared" si="16"/>
        <v>0</v>
      </c>
      <c r="T22" s="343" t="str">
        <f t="shared" si="17"/>
        <v>0</v>
      </c>
      <c r="U22" s="343" t="str">
        <f t="shared" si="18"/>
        <v>0</v>
      </c>
      <c r="V22" s="46">
        <f>[2]!e5aEDthkI(ThEDtbl,J22:U22)</f>
        <v>485.95</v>
      </c>
      <c r="W22" s="46"/>
      <c r="X22" s="177"/>
      <c r="Y22" s="381">
        <v>1.9819999999999998E-6</v>
      </c>
      <c r="Z22" s="257">
        <v>8.762E-8</v>
      </c>
      <c r="AA22" s="257">
        <v>1.6009999999999999E-8</v>
      </c>
      <c r="AB22" s="257">
        <v>4.3340000000000001E-9</v>
      </c>
      <c r="AC22" s="251">
        <v>27.7</v>
      </c>
      <c r="AD22" s="382">
        <v>1008</v>
      </c>
      <c r="AE22" s="46"/>
      <c r="AF22" s="391">
        <f t="shared" si="19"/>
        <v>1.0263412506983907</v>
      </c>
      <c r="AG22" s="391">
        <f t="shared" si="1"/>
        <v>4.5372361446111502E-2</v>
      </c>
      <c r="AH22" s="344">
        <f t="shared" si="20"/>
        <v>502.05</v>
      </c>
      <c r="AI22" s="418">
        <f>[1]!srRng2E($C$13,AH22)</f>
        <v>35.777774123768602</v>
      </c>
      <c r="AJ22" s="124">
        <f>[1]!srE2Rng($C$14,AI22)/1000</f>
        <v>978.06776703499088</v>
      </c>
      <c r="AK22" s="252">
        <f>[1]!srEnewGas($C$14,AI22,$C$21,$AD22*100,$AC22)</f>
        <v>31.768544278337163</v>
      </c>
      <c r="AL22" s="252">
        <f>[1]!srE2LETt($C$12,AK22,0)</f>
        <v>16.213234917793589</v>
      </c>
      <c r="AM22" s="252">
        <f>[1]!srEnew($C$15,AK22,$C$33)</f>
        <v>31.638309491062667</v>
      </c>
      <c r="AN22" s="252">
        <f>[1]!srE2LETt($C$14,AM22,0)</f>
        <v>18.181540630338571</v>
      </c>
      <c r="AO22" s="161">
        <f>[1]!srEnewGas($C$14,AM22,$C$34,AD22*100,AC22)</f>
        <v>31.587391887567463</v>
      </c>
      <c r="AP22" s="372">
        <f t="shared" si="21"/>
        <v>4.2770786935971472</v>
      </c>
      <c r="AQ22" s="252">
        <f t="shared" ca="1" si="22"/>
        <v>3.8881794667570047</v>
      </c>
      <c r="AR22" s="349">
        <f t="shared" ca="1" si="23"/>
        <v>1.3167597448127215</v>
      </c>
      <c r="AS22" s="252">
        <f t="shared" ca="1" si="24"/>
        <v>-0.38889922684014255</v>
      </c>
      <c r="AT22" s="419">
        <f t="shared" si="2"/>
        <v>1.5599100191194436E-8</v>
      </c>
      <c r="AU22" s="349">
        <f t="shared" ca="1" si="3"/>
        <v>3.785586227581454</v>
      </c>
      <c r="AV22" s="349">
        <f t="shared" ca="1" si="25"/>
        <v>1.2897320162904762</v>
      </c>
      <c r="AW22" s="252">
        <f t="shared" ca="1" si="4"/>
        <v>-0.49149246601569319</v>
      </c>
      <c r="AX22" s="45"/>
      <c r="AY22" s="45"/>
      <c r="AZ22" s="13">
        <f>[1]!srRng2E($C$13,AZ$11-$V22)</f>
        <v>35.29849794858719</v>
      </c>
      <c r="BA22" s="372">
        <f>[2]!e5adE_ICs(AZ22,$C$14,$C$15,$C$21,$AD22,$AC22,$C$33,$C$34)*$C$7</f>
        <v>4.2770786935971472</v>
      </c>
      <c r="BB22" s="252">
        <f t="shared" ca="1" si="26"/>
        <v>-2.2984754491211885</v>
      </c>
      <c r="BC22" s="45"/>
      <c r="BD22" s="13">
        <f>[1]!srRng2E($C$13,BD$11-$V22)</f>
        <v>35.539954258516644</v>
      </c>
      <c r="BE22" s="372">
        <f>[2]!e5adE_ICs(BD22,$C$14,$C$15,$C$21,$AD22,$AC22,$C$33,$C$34)*$C$7</f>
        <v>4.2770786935971472</v>
      </c>
      <c r="BF22" s="252">
        <f t="shared" ca="1" si="27"/>
        <v>-1.3615811283200108</v>
      </c>
      <c r="BG22" s="45"/>
      <c r="BH22" s="13">
        <f>[1]!srRng2E($C$13,BH$11-$V22)</f>
        <v>36.006149697448038</v>
      </c>
      <c r="BI22" s="372">
        <f>[2]!e5adE_ICs(BH22,$C$14,$C$15,$C$21,$AD22,$AC22,$C$33,$C$34)*$C$7</f>
        <v>4.2770786935971472</v>
      </c>
      <c r="BJ22" s="252">
        <f t="shared" ca="1" si="28"/>
        <v>-0.52704080585839508</v>
      </c>
      <c r="BK22" s="45"/>
      <c r="BL22" s="13">
        <f>[1]!srRng2E($C$13,BL$11-$V22)</f>
        <v>36.234525271127481</v>
      </c>
      <c r="BM22" s="372">
        <f>[2]!e5adE_ICs(BL22,$C$14,$C$15,$C$21,$AD22,$AC22,$C$33,$C$34)*$C$7</f>
        <v>4.2770786935968488</v>
      </c>
      <c r="BN22" s="252">
        <f t="shared" ca="1" si="29"/>
        <v>-1.350188533444967</v>
      </c>
      <c r="BO22" s="45"/>
      <c r="BP22" s="123">
        <f t="shared" si="30"/>
        <v>4.2770786935971472</v>
      </c>
      <c r="BQ22" s="123">
        <f t="shared" si="31"/>
        <v>4.2770786935971472</v>
      </c>
      <c r="BR22" s="123">
        <f t="shared" si="32"/>
        <v>4.2770786935971472</v>
      </c>
      <c r="BS22" s="123">
        <f t="shared" si="33"/>
        <v>4.2770786935971472</v>
      </c>
      <c r="BT22" s="123">
        <f t="shared" si="34"/>
        <v>4.2770786935968488</v>
      </c>
      <c r="BU22" s="45"/>
      <c r="BV22" s="123">
        <f t="shared" ca="1" si="35"/>
        <v>-2.2984754491211885</v>
      </c>
      <c r="BW22" s="123">
        <f t="shared" ca="1" si="36"/>
        <v>-1.3615811283200108</v>
      </c>
      <c r="BX22" s="123">
        <f t="shared" ca="1" si="5"/>
        <v>-0.49149246601569319</v>
      </c>
      <c r="BY22" s="123">
        <f t="shared" ca="1" si="37"/>
        <v>-0.52704080585839508</v>
      </c>
      <c r="BZ22" s="123">
        <f t="shared" ca="1" si="38"/>
        <v>-1.350188533444967</v>
      </c>
      <c r="CA22" s="142"/>
    </row>
    <row r="23" spans="2:79">
      <c r="F23" s="123">
        <f t="shared" si="6"/>
        <v>534.54</v>
      </c>
      <c r="G23" s="260" t="s">
        <v>212</v>
      </c>
      <c r="H23" s="444">
        <v>9</v>
      </c>
      <c r="I23" s="298"/>
      <c r="J23" s="343" t="str">
        <f t="shared" si="7"/>
        <v>0</v>
      </c>
      <c r="K23" s="343" t="str">
        <f t="shared" si="8"/>
        <v>0</v>
      </c>
      <c r="L23" s="343" t="str">
        <f t="shared" si="9"/>
        <v>0</v>
      </c>
      <c r="M23" s="343" t="str">
        <f t="shared" si="10"/>
        <v>4</v>
      </c>
      <c r="N23" s="343" t="str">
        <f t="shared" si="11"/>
        <v>0</v>
      </c>
      <c r="O23" s="343" t="str">
        <f t="shared" si="12"/>
        <v>0</v>
      </c>
      <c r="P23" s="343" t="str">
        <f t="shared" si="13"/>
        <v>0</v>
      </c>
      <c r="Q23" s="343" t="str">
        <f t="shared" si="14"/>
        <v>8</v>
      </c>
      <c r="R23" s="343" t="str">
        <f t="shared" si="15"/>
        <v>0</v>
      </c>
      <c r="S23" s="343" t="str">
        <f t="shared" si="16"/>
        <v>0</v>
      </c>
      <c r="T23" s="343" t="str">
        <f t="shared" si="17"/>
        <v>0</v>
      </c>
      <c r="U23" s="343" t="str">
        <f t="shared" si="18"/>
        <v>0</v>
      </c>
      <c r="V23" s="46">
        <f>[2]!e5aEDthkI(ThEDtbl,J23:U23)</f>
        <v>534.54</v>
      </c>
      <c r="W23" s="46"/>
      <c r="X23" s="177"/>
      <c r="Y23" s="381">
        <v>2.0190000000000001E-6</v>
      </c>
      <c r="Z23" s="257">
        <v>8.2170000000000001E-8</v>
      </c>
      <c r="AA23" s="257">
        <v>1.8760000000000001E-8</v>
      </c>
      <c r="AB23" s="257">
        <v>7.0860000000000001E-10</v>
      </c>
      <c r="AC23" s="251">
        <v>27.7</v>
      </c>
      <c r="AD23" s="382">
        <v>1008</v>
      </c>
      <c r="AE23" s="46"/>
      <c r="AF23" s="391">
        <f t="shared" si="19"/>
        <v>1.0455010015943749</v>
      </c>
      <c r="AG23" s="391">
        <f t="shared" si="1"/>
        <v>4.2550181922243573E-2</v>
      </c>
      <c r="AH23" s="344">
        <f t="shared" si="20"/>
        <v>453.46000000000004</v>
      </c>
      <c r="AI23" s="418">
        <f>[1]!srRng2E($C$13,AH23)</f>
        <v>33.434938148551652</v>
      </c>
      <c r="AJ23" s="124">
        <f>[1]!srE2Rng($C$14,AI23)/1000</f>
        <v>883.22333766023041</v>
      </c>
      <c r="AK23" s="252">
        <f>[1]!srEnewGas($C$14,AI23,$C$21,$AD23*100,$AC23)</f>
        <v>29.250082534703765</v>
      </c>
      <c r="AL23" s="252">
        <f>[1]!srE2LETt($C$12,AK23,0)</f>
        <v>17.073763672259197</v>
      </c>
      <c r="AM23" s="252">
        <f>[1]!srEnew($C$15,AK23,$C$33)</f>
        <v>29.111380893031136</v>
      </c>
      <c r="AN23" s="252">
        <f>[1]!srE2LETt($C$14,AM23,0)</f>
        <v>19.095907642608374</v>
      </c>
      <c r="AO23" s="161">
        <f>[1]!srEnewGas($C$14,AM23,$C$34,AD23*100,AC23)</f>
        <v>29.057571484954323</v>
      </c>
      <c r="AP23" s="372">
        <f t="shared" si="21"/>
        <v>4.519990278452255</v>
      </c>
      <c r="AQ23" s="252">
        <f t="shared" ca="1" si="22"/>
        <v>4.7236869190493413</v>
      </c>
      <c r="AR23" s="349">
        <f t="shared" ca="1" si="23"/>
        <v>0.21528748388885427</v>
      </c>
      <c r="AS23" s="252">
        <f t="shared" ca="1" si="24"/>
        <v>0.20369664059708636</v>
      </c>
      <c r="AT23" s="419">
        <f t="shared" si="2"/>
        <v>1.7943550480957223E-8</v>
      </c>
      <c r="AU23" s="349">
        <f t="shared" ca="1" si="3"/>
        <v>4.4832587239609074</v>
      </c>
      <c r="AV23" s="349">
        <f t="shared" ca="1" si="25"/>
        <v>0.2108685064013455</v>
      </c>
      <c r="AW23" s="252">
        <f t="shared" ca="1" si="4"/>
        <v>-3.6731554491347573E-2</v>
      </c>
      <c r="AX23" s="45"/>
      <c r="AY23" s="45"/>
      <c r="AZ23" s="13">
        <f>[1]!srRng2E($C$13,AZ$11-$V23)</f>
        <v>32.952025528692744</v>
      </c>
      <c r="BA23" s="372">
        <f>[2]!e5adE_ICs(AZ23,$C$14,$C$15,$C$21,$AD23,$AC23,$C$33,$C$34)*$C$7</f>
        <v>4.519990278452255</v>
      </c>
      <c r="BB23" s="252">
        <f t="shared" ca="1" si="26"/>
        <v>-1.9471400769740019</v>
      </c>
      <c r="BC23" s="45"/>
      <c r="BD23" s="13">
        <f>[1]!srRng2E($C$13,BD$11-$V23)</f>
        <v>33.193481838622198</v>
      </c>
      <c r="BE23" s="372">
        <f>[2]!e5adE_ICs(BD23,$C$14,$C$15,$C$21,$AD23,$AC23,$C$33,$C$34)*$C$7</f>
        <v>4.519990278452255</v>
      </c>
      <c r="BF23" s="252">
        <f t="shared" ca="1" si="27"/>
        <v>-0.92843473890602457</v>
      </c>
      <c r="BG23" s="45"/>
      <c r="BH23" s="13">
        <f>[1]!srRng2E($C$13,BH$11-$V23)</f>
        <v>33.676394458481106</v>
      </c>
      <c r="BI23" s="372">
        <f>[2]!e5adE_ICs(BH23,$C$14,$C$15,$C$21,$AD23,$AC23,$C$33,$C$34)*$C$7</f>
        <v>4.5199902784519566</v>
      </c>
      <c r="BJ23" s="252">
        <f t="shared" ca="1" si="28"/>
        <v>-0.11882800511674141</v>
      </c>
      <c r="BK23" s="45"/>
      <c r="BL23" s="13">
        <f>[1]!srRng2E($C$13,BL$11-$V23)</f>
        <v>33.917850768410567</v>
      </c>
      <c r="BM23" s="372">
        <f>[2]!e5adE_ICs(BL23,$C$14,$C$15,$C$21,$AD23,$AC23,$C$33,$C$34)*$C$7</f>
        <v>4.5199902784519566</v>
      </c>
      <c r="BN23" s="252">
        <f t="shared" ca="1" si="29"/>
        <v>-1.0288756343367629</v>
      </c>
      <c r="BO23" s="45"/>
      <c r="BP23" s="123">
        <f t="shared" si="30"/>
        <v>4.519990278452255</v>
      </c>
      <c r="BQ23" s="123">
        <f t="shared" si="31"/>
        <v>4.519990278452255</v>
      </c>
      <c r="BR23" s="123">
        <f t="shared" si="32"/>
        <v>4.519990278452255</v>
      </c>
      <c r="BS23" s="123">
        <f t="shared" si="33"/>
        <v>4.5199902784519566</v>
      </c>
      <c r="BT23" s="123">
        <f t="shared" si="34"/>
        <v>4.5199902784519566</v>
      </c>
      <c r="BU23" s="45"/>
      <c r="BV23" s="123">
        <f t="shared" ca="1" si="35"/>
        <v>-1.9471400769740019</v>
      </c>
      <c r="BW23" s="123">
        <f t="shared" ca="1" si="36"/>
        <v>-0.92843473890602457</v>
      </c>
      <c r="BX23" s="123">
        <f t="shared" ca="1" si="5"/>
        <v>-3.6731554491347573E-2</v>
      </c>
      <c r="BY23" s="123">
        <f t="shared" ca="1" si="37"/>
        <v>-0.11882800511674141</v>
      </c>
      <c r="BZ23" s="123">
        <f t="shared" ca="1" si="38"/>
        <v>-1.0288756343367629</v>
      </c>
      <c r="CA23" s="142"/>
    </row>
    <row r="24" spans="2:79">
      <c r="B24" s="113" t="s">
        <v>92</v>
      </c>
      <c r="C24" s="160"/>
      <c r="D24" s="130" t="s">
        <v>94</v>
      </c>
      <c r="F24" s="123">
        <f t="shared" si="6"/>
        <v>609.99</v>
      </c>
      <c r="G24" s="260" t="s">
        <v>213</v>
      </c>
      <c r="H24" s="444">
        <v>10</v>
      </c>
      <c r="I24" s="298"/>
      <c r="J24" s="343" t="str">
        <f t="shared" si="7"/>
        <v>0</v>
      </c>
      <c r="K24" s="343" t="str">
        <f t="shared" si="8"/>
        <v>0</v>
      </c>
      <c r="L24" s="343" t="str">
        <f t="shared" si="9"/>
        <v>3</v>
      </c>
      <c r="M24" s="343" t="str">
        <f t="shared" si="10"/>
        <v>0</v>
      </c>
      <c r="N24" s="343" t="str">
        <f t="shared" si="11"/>
        <v>5</v>
      </c>
      <c r="O24" s="343" t="str">
        <f t="shared" si="12"/>
        <v>0</v>
      </c>
      <c r="P24" s="343" t="str">
        <f t="shared" si="13"/>
        <v>0</v>
      </c>
      <c r="Q24" s="343" t="str">
        <f t="shared" si="14"/>
        <v>8</v>
      </c>
      <c r="R24" s="343" t="str">
        <f t="shared" si="15"/>
        <v>0</v>
      </c>
      <c r="S24" s="343" t="str">
        <f t="shared" si="16"/>
        <v>0</v>
      </c>
      <c r="T24" s="343" t="str">
        <f t="shared" si="17"/>
        <v>0</v>
      </c>
      <c r="U24" s="343" t="str">
        <f t="shared" si="18"/>
        <v>0</v>
      </c>
      <c r="V24" s="46">
        <f>[2]!e5aEDthkI(ThEDtbl,J24:U24)</f>
        <v>609.99</v>
      </c>
      <c r="W24" s="46"/>
      <c r="X24" s="177"/>
      <c r="Y24" s="381">
        <v>1.9599999999999999E-6</v>
      </c>
      <c r="Z24" s="257">
        <v>3.9039999999999998E-8</v>
      </c>
      <c r="AA24" s="257">
        <v>2.0619999999999999E-8</v>
      </c>
      <c r="AB24" s="257">
        <v>8.2949999999999998E-10</v>
      </c>
      <c r="AC24" s="251">
        <v>27.7</v>
      </c>
      <c r="AD24" s="382">
        <v>1008</v>
      </c>
      <c r="AE24" s="46"/>
      <c r="AF24" s="391">
        <f t="shared" si="19"/>
        <v>1.0149489663818596</v>
      </c>
      <c r="AG24" s="391">
        <f t="shared" si="1"/>
        <v>2.0216126350789693E-2</v>
      </c>
      <c r="AH24" s="344">
        <f t="shared" si="20"/>
        <v>378.01</v>
      </c>
      <c r="AI24" s="418">
        <f>[1]!srRng2E($C$13,AH24)</f>
        <v>29.601648351648354</v>
      </c>
      <c r="AJ24" s="124">
        <f>[1]!srE2Rng($C$14,AI24)/1000</f>
        <v>735.94607692307704</v>
      </c>
      <c r="AK24" s="252">
        <f>[1]!srEnewGas($C$14,AI24,$C$21,$AD24*100,$AC24)</f>
        <v>25.06428456433181</v>
      </c>
      <c r="AL24" s="252">
        <f>[1]!srE2LETt($C$12,AK24,0)</f>
        <v>18.761640215317321</v>
      </c>
      <c r="AM24" s="252">
        <f>[1]!srEnew($C$15,AK24,$C$33)</f>
        <v>24.915567988382257</v>
      </c>
      <c r="AN24" s="252">
        <f>[1]!srE2LETt($C$14,AM24,0)</f>
        <v>20.725502825073431</v>
      </c>
      <c r="AO24" s="161">
        <f>[1]!srEnewGas($C$14,AM24,$C$34,AD24*100,AC24)</f>
        <v>24.858507240478023</v>
      </c>
      <c r="AP24" s="372">
        <f t="shared" si="21"/>
        <v>4.7931028239556923</v>
      </c>
      <c r="AQ24" s="252">
        <f t="shared" ca="1" si="22"/>
        <v>5.2887937776907021</v>
      </c>
      <c r="AR24" s="349">
        <f t="shared" ca="1" si="23"/>
        <v>0.25201942970054281</v>
      </c>
      <c r="AS24" s="252">
        <f t="shared" ca="1" si="24"/>
        <v>0.49569095373500982</v>
      </c>
      <c r="AT24" s="419">
        <f t="shared" si="2"/>
        <v>2.0316292427497312E-8</v>
      </c>
      <c r="AU24" s="349">
        <f t="shared" ca="1" si="3"/>
        <v>5.1893503840550785</v>
      </c>
      <c r="AV24" s="349">
        <f t="shared" ca="1" si="25"/>
        <v>0.24684649458074526</v>
      </c>
      <c r="AW24" s="252">
        <f t="shared" ca="1" si="4"/>
        <v>0.39624756009938622</v>
      </c>
      <c r="AX24" s="45"/>
      <c r="AY24" s="45"/>
      <c r="AZ24" s="13">
        <f>[1]!srRng2E($C$13,AZ$11-$V24)</f>
        <v>29.056558520844234</v>
      </c>
      <c r="BA24" s="372">
        <f>[2]!e5adE_ICs(AZ24,$C$14,$C$15,$C$21,$AD24,$AC24,$C$33,$C$34)*$C$7</f>
        <v>4.7931028239559907</v>
      </c>
      <c r="BB24" s="252">
        <f t="shared" ca="1" si="26"/>
        <v>-1.6188345895853393</v>
      </c>
      <c r="BC24" s="45"/>
      <c r="BD24" s="13">
        <f>[1]!srRng2E($C$13,BD$11-$V24)</f>
        <v>29.329103436246292</v>
      </c>
      <c r="BE24" s="372">
        <f>[2]!e5adE_ICs(BD24,$C$14,$C$15,$C$21,$AD24,$AC24,$C$33,$C$34)*$C$7</f>
        <v>4.7931028239559907</v>
      </c>
      <c r="BF24" s="252">
        <f t="shared" ca="1" si="27"/>
        <v>-0.51733097969830322</v>
      </c>
      <c r="BG24" s="45"/>
      <c r="BH24" s="13">
        <f>[1]!srRng2E($C$13,BH$11-$V24)</f>
        <v>29.867465236783421</v>
      </c>
      <c r="BI24" s="372">
        <f>[2]!e5adE_ICs(BH24,$C$14,$C$15,$C$21,$AD24,$AC24,$C$33,$C$34)*$C$7</f>
        <v>4.7931028239559907</v>
      </c>
      <c r="BJ24" s="252">
        <f t="shared" ca="1" si="28"/>
        <v>0.26704127930584232</v>
      </c>
      <c r="BK24" s="45"/>
      <c r="BL24" s="13">
        <f>[1]!srRng2E($C$13,BL$11-$V24)</f>
        <v>30.123679981634528</v>
      </c>
      <c r="BM24" s="372">
        <f>[2]!e5adE_ICs(BL24,$C$14,$C$15,$C$21,$AD24,$AC24,$C$33,$C$34)*$C$7</f>
        <v>4.7931028239559907</v>
      </c>
      <c r="BN24" s="252">
        <f t="shared" ca="1" si="29"/>
        <v>-0.73095491621798736</v>
      </c>
      <c r="BO24" s="45"/>
      <c r="BP24" s="123">
        <f t="shared" si="30"/>
        <v>4.7931028239559907</v>
      </c>
      <c r="BQ24" s="123">
        <f t="shared" si="31"/>
        <v>4.7931028239559907</v>
      </c>
      <c r="BR24" s="123">
        <f t="shared" si="32"/>
        <v>4.7931028239556923</v>
      </c>
      <c r="BS24" s="123">
        <f t="shared" si="33"/>
        <v>4.7931028239559907</v>
      </c>
      <c r="BT24" s="123">
        <f t="shared" si="34"/>
        <v>4.7931028239559907</v>
      </c>
      <c r="BU24" s="45"/>
      <c r="BV24" s="123">
        <f t="shared" ca="1" si="35"/>
        <v>-1.6188345895853393</v>
      </c>
      <c r="BW24" s="123">
        <f t="shared" ca="1" si="36"/>
        <v>-0.51733097969830322</v>
      </c>
      <c r="BX24" s="123">
        <f t="shared" ca="1" si="5"/>
        <v>0.39624756009938622</v>
      </c>
      <c r="BY24" s="123">
        <f t="shared" ca="1" si="37"/>
        <v>0.26704127930584232</v>
      </c>
      <c r="BZ24" s="123">
        <f t="shared" ca="1" si="38"/>
        <v>-0.73095491621798736</v>
      </c>
      <c r="CA24" s="142"/>
    </row>
    <row r="25" spans="2:79">
      <c r="B25" s="28" t="s">
        <v>93</v>
      </c>
      <c r="C25" s="295"/>
      <c r="D25" s="2" t="s">
        <v>95</v>
      </c>
      <c r="F25" s="123">
        <f t="shared" si="6"/>
        <v>648.14</v>
      </c>
      <c r="G25" s="260" t="s">
        <v>214</v>
      </c>
      <c r="H25" s="444">
        <v>11</v>
      </c>
      <c r="I25" s="298"/>
      <c r="J25" s="343" t="str">
        <f t="shared" si="7"/>
        <v>0</v>
      </c>
      <c r="K25" s="343" t="str">
        <f t="shared" si="8"/>
        <v>2</v>
      </c>
      <c r="L25" s="343" t="str">
        <f t="shared" si="9"/>
        <v>0</v>
      </c>
      <c r="M25" s="343" t="str">
        <f t="shared" si="10"/>
        <v>4</v>
      </c>
      <c r="N25" s="343" t="str">
        <f t="shared" si="11"/>
        <v>0</v>
      </c>
      <c r="O25" s="343" t="str">
        <f t="shared" si="12"/>
        <v>6</v>
      </c>
      <c r="P25" s="343" t="str">
        <f t="shared" si="13"/>
        <v>0</v>
      </c>
      <c r="Q25" s="343" t="str">
        <f t="shared" si="14"/>
        <v>8</v>
      </c>
      <c r="R25" s="343" t="str">
        <f t="shared" si="15"/>
        <v>0</v>
      </c>
      <c r="S25" s="343" t="str">
        <f t="shared" si="16"/>
        <v>0</v>
      </c>
      <c r="T25" s="343" t="str">
        <f t="shared" si="17"/>
        <v>0</v>
      </c>
      <c r="U25" s="343" t="str">
        <f t="shared" si="18"/>
        <v>0</v>
      </c>
      <c r="V25" s="46">
        <f>[2]!e5aEDthkI(ThEDtbl,J25:U25)</f>
        <v>648.14</v>
      </c>
      <c r="W25" s="46"/>
      <c r="X25" s="177"/>
      <c r="Y25" s="381">
        <v>1.922E-6</v>
      </c>
      <c r="Z25" s="257">
        <v>6.2470000000000003E-8</v>
      </c>
      <c r="AA25" s="257">
        <v>2.098E-8</v>
      </c>
      <c r="AB25" s="257">
        <v>8.1089999999999996E-10</v>
      </c>
      <c r="AC25" s="251">
        <v>27.74</v>
      </c>
      <c r="AD25" s="382">
        <v>1008</v>
      </c>
      <c r="AE25" s="46"/>
      <c r="AF25" s="391">
        <f t="shared" si="19"/>
        <v>0.99527138438057872</v>
      </c>
      <c r="AG25" s="391">
        <f t="shared" si="1"/>
        <v>3.2348909147895295E-2</v>
      </c>
      <c r="AH25" s="344">
        <f t="shared" si="20"/>
        <v>339.86</v>
      </c>
      <c r="AI25" s="418">
        <f>[1]!srRng2E($C$13,AH25)</f>
        <v>27.522130647130645</v>
      </c>
      <c r="AJ25" s="124">
        <f>[1]!srE2Rng($C$14,AI25)/1000</f>
        <v>661.02255128205127</v>
      </c>
      <c r="AK25" s="252">
        <f>[1]!srEnewGas($C$14,AI25,$C$21,$AD25*100,$AC25)</f>
        <v>22.792264507472069</v>
      </c>
      <c r="AL25" s="252">
        <f>[1]!srE2LETt($C$12,AK25,0)</f>
        <v>19.916825347231413</v>
      </c>
      <c r="AM25" s="252">
        <f>[1]!srEnew($C$15,AK25,$C$33)</f>
        <v>22.63209280340531</v>
      </c>
      <c r="AN25" s="252">
        <f>[1]!srE2LETt($C$14,AM25,0)</f>
        <v>21.992130208288593</v>
      </c>
      <c r="AO25" s="161">
        <f>[1]!srEnewGas($C$14,AM25,$C$34,AD25*100,AC25)</f>
        <v>22.570986320973105</v>
      </c>
      <c r="AP25" s="372">
        <f t="shared" si="21"/>
        <v>5.1329445243052163</v>
      </c>
      <c r="AQ25" s="252">
        <f t="shared" ca="1" si="22"/>
        <v>5.3981692987180629</v>
      </c>
      <c r="AR25" s="349">
        <f t="shared" ca="1" si="23"/>
        <v>0.24636836111412916</v>
      </c>
      <c r="AS25" s="252">
        <f t="shared" ca="1" si="24"/>
        <v>0.26522477441284664</v>
      </c>
      <c r="AT25" s="419">
        <f t="shared" si="2"/>
        <v>2.1079677693192395E-8</v>
      </c>
      <c r="AU25" s="349">
        <f t="shared" ca="1" si="3"/>
        <v>5.4165221463834961</v>
      </c>
      <c r="AV25" s="349">
        <f t="shared" ca="1" si="25"/>
        <v>0.24131141947622223</v>
      </c>
      <c r="AW25" s="252">
        <f t="shared" ca="1" si="4"/>
        <v>0.28357762207827975</v>
      </c>
      <c r="AX25" s="45"/>
      <c r="AY25" s="45"/>
      <c r="AZ25" s="13">
        <f>[1]!srRng2E($C$13,AZ$11-$V25)</f>
        <v>26.977040816326529</v>
      </c>
      <c r="BA25" s="372">
        <f>[2]!e5adE_ICs(AZ25,$C$14,$C$15,$C$21,$AD25,$AC25,$C$33,$C$34)*$C$7</f>
        <v>5.1329445243052163</v>
      </c>
      <c r="BB25" s="252">
        <f t="shared" ca="1" si="26"/>
        <v>-1.7651813059971615</v>
      </c>
      <c r="BC25" s="45"/>
      <c r="BD25" s="13">
        <f>[1]!srRng2E($C$13,BD$11-$V25)</f>
        <v>27.249585731728587</v>
      </c>
      <c r="BE25" s="372">
        <f>[2]!e5adE_ICs(BD25,$C$14,$C$15,$C$21,$AD25,$AC25,$C$33,$C$34)*$C$7</f>
        <v>5.1329445243052163</v>
      </c>
      <c r="BF25" s="252">
        <f t="shared" ca="1" si="27"/>
        <v>-0.63703890345766112</v>
      </c>
      <c r="BG25" s="45"/>
      <c r="BH25" s="13">
        <f>[1]!srRng2E($C$13,BH$11-$V25)</f>
        <v>27.794675562532706</v>
      </c>
      <c r="BI25" s="372">
        <f>[2]!e5adE_ICs(BH25,$C$14,$C$15,$C$21,$AD25,$AC25,$C$33,$C$34)*$C$7</f>
        <v>5.1329445243052163</v>
      </c>
      <c r="BJ25" s="252">
        <f t="shared" ca="1" si="28"/>
        <v>0.13921463607663576</v>
      </c>
      <c r="BK25" s="45"/>
      <c r="BL25" s="13">
        <f>[1]!srRng2E($C$13,BL$11-$V25)</f>
        <v>28.067220477934764</v>
      </c>
      <c r="BM25" s="372">
        <f>[2]!e5adE_ICs(BL25,$C$14,$C$15,$C$21,$AD25,$AC25,$C$33,$C$34)*$C$7</f>
        <v>5.1329445243052163</v>
      </c>
      <c r="BN25" s="252">
        <f t="shared" ca="1" si="29"/>
        <v>-0.88707736285440131</v>
      </c>
      <c r="BO25" s="45"/>
      <c r="BP25" s="123">
        <f t="shared" si="30"/>
        <v>5.1329445243052163</v>
      </c>
      <c r="BQ25" s="123">
        <f t="shared" si="31"/>
        <v>5.1329445243052163</v>
      </c>
      <c r="BR25" s="123">
        <f t="shared" si="32"/>
        <v>5.1329445243052163</v>
      </c>
      <c r="BS25" s="123">
        <f t="shared" si="33"/>
        <v>5.1329445243052163</v>
      </c>
      <c r="BT25" s="123">
        <f t="shared" si="34"/>
        <v>5.1329445243052163</v>
      </c>
      <c r="BU25" s="45"/>
      <c r="BV25" s="123">
        <f t="shared" ca="1" si="35"/>
        <v>-1.7651813059971615</v>
      </c>
      <c r="BW25" s="123">
        <f t="shared" ca="1" si="36"/>
        <v>-0.63703890345766112</v>
      </c>
      <c r="BX25" s="123">
        <f t="shared" ca="1" si="5"/>
        <v>0.28357762207827975</v>
      </c>
      <c r="BY25" s="123">
        <f t="shared" ca="1" si="37"/>
        <v>0.13921463607663576</v>
      </c>
      <c r="BZ25" s="123">
        <f t="shared" ca="1" si="38"/>
        <v>-0.88707736285440131</v>
      </c>
      <c r="CA25" s="142"/>
    </row>
    <row r="26" spans="2:79">
      <c r="C26" s="388" t="s">
        <v>157</v>
      </c>
      <c r="F26" s="123">
        <f t="shared" si="6"/>
        <v>682.33999999999992</v>
      </c>
      <c r="G26" s="260" t="s">
        <v>260</v>
      </c>
      <c r="H26" s="444">
        <v>12</v>
      </c>
      <c r="I26" s="298"/>
      <c r="J26" s="343" t="str">
        <f t="shared" si="7"/>
        <v>0</v>
      </c>
      <c r="K26" s="343" t="str">
        <f t="shared" si="8"/>
        <v>0</v>
      </c>
      <c r="L26" s="343" t="str">
        <f t="shared" si="9"/>
        <v>0</v>
      </c>
      <c r="M26" s="343" t="str">
        <f t="shared" si="10"/>
        <v>0</v>
      </c>
      <c r="N26" s="343" t="str">
        <f t="shared" si="11"/>
        <v>0</v>
      </c>
      <c r="O26" s="343" t="str">
        <f t="shared" si="12"/>
        <v>0</v>
      </c>
      <c r="P26" s="343" t="str">
        <f t="shared" si="13"/>
        <v>7</v>
      </c>
      <c r="Q26" s="343" t="str">
        <f t="shared" si="14"/>
        <v>8</v>
      </c>
      <c r="R26" s="343" t="str">
        <f t="shared" si="15"/>
        <v>0</v>
      </c>
      <c r="S26" s="343" t="str">
        <f t="shared" si="16"/>
        <v>0</v>
      </c>
      <c r="T26" s="343" t="str">
        <f t="shared" si="17"/>
        <v>0</v>
      </c>
      <c r="U26" s="343" t="str">
        <f t="shared" si="18"/>
        <v>0</v>
      </c>
      <c r="V26" s="46">
        <f>[2]!e5aEDthkI(ThEDtbl,J26:U26)</f>
        <v>682.33999999999992</v>
      </c>
      <c r="W26" s="46"/>
      <c r="X26" s="177"/>
      <c r="Y26" s="381">
        <v>1.95E-6</v>
      </c>
      <c r="Z26" s="257">
        <v>5.404E-8</v>
      </c>
      <c r="AA26" s="257">
        <v>2.0590000000000001E-8</v>
      </c>
      <c r="AB26" s="257">
        <v>5.5530000000000002E-9</v>
      </c>
      <c r="AC26" s="251">
        <v>27.7</v>
      </c>
      <c r="AD26" s="382">
        <v>1008</v>
      </c>
      <c r="AE26" s="46"/>
      <c r="AF26" s="391">
        <f t="shared" si="19"/>
        <v>1.009770655328891</v>
      </c>
      <c r="AG26" s="391">
        <f t="shared" si="1"/>
        <v>2.79835929302427E-2</v>
      </c>
      <c r="AH26" s="344">
        <f t="shared" si="20"/>
        <v>305.66000000000008</v>
      </c>
      <c r="AI26" s="418">
        <f>[1]!srRng2E($C$13,AH26)</f>
        <v>25.578787963637048</v>
      </c>
      <c r="AJ26" s="124">
        <f>[1]!srE2Rng($C$14,AI26)/1000</f>
        <v>593.48308506468061</v>
      </c>
      <c r="AK26" s="252">
        <f>[1]!srEnewGas($C$14,AI26,$C$21,$AD26*100,$AC26)</f>
        <v>20.620031178311969</v>
      </c>
      <c r="AL26" s="252">
        <f>[1]!srE2LETt($C$12,AK26,0)</f>
        <v>21.207125641361259</v>
      </c>
      <c r="AM26" s="252">
        <f>[1]!srEnew($C$15,AK26,$C$33)</f>
        <v>20.450809260689198</v>
      </c>
      <c r="AN26" s="252">
        <f>[1]!srE2LETt($C$14,AM26,0)</f>
        <v>23.490488138242736</v>
      </c>
      <c r="AO26" s="161">
        <f>[1]!srEnewGas($C$14,AM26,$C$34,AD26*100,AC26)</f>
        <v>20.386304142432333</v>
      </c>
      <c r="AP26" s="372">
        <f t="shared" si="21"/>
        <v>5.4184299335766042</v>
      </c>
      <c r="AQ26" s="252">
        <f t="shared" ca="1" si="22"/>
        <v>5.2796791509384233</v>
      </c>
      <c r="AR26" s="349">
        <f t="shared" ca="1" si="23"/>
        <v>1.6871174118470333</v>
      </c>
      <c r="AS26" s="252">
        <f t="shared" ca="1" si="24"/>
        <v>-0.13875078263818086</v>
      </c>
      <c r="AT26" s="419">
        <f t="shared" si="2"/>
        <v>2.0390768825910929E-8</v>
      </c>
      <c r="AU26" s="349">
        <f t="shared" ca="1" si="3"/>
        <v>5.2115134194708723</v>
      </c>
      <c r="AV26" s="349">
        <f t="shared" ca="1" si="25"/>
        <v>1.6524877449148625</v>
      </c>
      <c r="AW26" s="252">
        <f t="shared" ca="1" si="4"/>
        <v>-0.20691651410573186</v>
      </c>
      <c r="AX26" s="45"/>
      <c r="AY26" s="45"/>
      <c r="AZ26" s="13">
        <f>[1]!srRng2E($C$13,AZ$11-$V26)</f>
        <v>24.995449963599714</v>
      </c>
      <c r="BA26" s="372">
        <f>[2]!e5adE_ICs(AZ26,$C$14,$C$15,$C$21,$AD26,$AC26,$C$33,$C$34)*$C$7</f>
        <v>5.6390757133033134</v>
      </c>
      <c r="BB26" s="252">
        <f t="shared" ca="1" si="26"/>
        <v>-2.4459299734811557</v>
      </c>
      <c r="BC26" s="45"/>
      <c r="BD26" s="13">
        <f>[1]!srRng2E($C$13,BD$11-$V26)</f>
        <v>25.287118963618379</v>
      </c>
      <c r="BE26" s="372">
        <f>[2]!e5adE_ICs(BD26,$C$14,$C$15,$C$21,$AD26,$AC26,$C$33,$C$34)*$C$7</f>
        <v>5.6390757133033134</v>
      </c>
      <c r="BF26" s="252">
        <f t="shared" ca="1" si="27"/>
        <v>-1.3418274644222361</v>
      </c>
      <c r="BG26" s="45"/>
      <c r="BH26" s="13">
        <f>[1]!srRng2E($C$13,BH$11-$V26)</f>
        <v>25.870456963655712</v>
      </c>
      <c r="BI26" s="372">
        <f>[2]!e5adE_ICs(BH26,$C$14,$C$15,$C$21,$AD26,$AC26,$C$33,$C$34)*$C$7</f>
        <v>5.4184299335766042</v>
      </c>
      <c r="BJ26" s="252">
        <f t="shared" ca="1" si="28"/>
        <v>-0.33760149361961833</v>
      </c>
      <c r="BK26" s="45"/>
      <c r="BL26" s="13">
        <f>[1]!srRng2E($C$13,BL$11-$V26)</f>
        <v>26.162125963674381</v>
      </c>
      <c r="BM26" s="372">
        <f>[2]!e5adE_ICs(BL26,$C$14,$C$15,$C$21,$AD26,$AC26,$C$33,$C$34)*$C$7</f>
        <v>5.4184299335766042</v>
      </c>
      <c r="BN26" s="252">
        <f t="shared" ca="1" si="29"/>
        <v>-1.3383582474390936</v>
      </c>
      <c r="BO26" s="45"/>
      <c r="BP26" s="123">
        <f t="shared" si="30"/>
        <v>5.6390757133033134</v>
      </c>
      <c r="BQ26" s="123">
        <f t="shared" si="31"/>
        <v>5.6390757133033134</v>
      </c>
      <c r="BR26" s="123">
        <f t="shared" si="32"/>
        <v>5.4184299335766042</v>
      </c>
      <c r="BS26" s="123">
        <f t="shared" si="33"/>
        <v>5.4184299335766042</v>
      </c>
      <c r="BT26" s="123">
        <f t="shared" si="34"/>
        <v>5.4184299335766042</v>
      </c>
      <c r="BU26" s="45"/>
      <c r="BV26" s="123">
        <f t="shared" ca="1" si="35"/>
        <v>-2.4459299734811557</v>
      </c>
      <c r="BW26" s="123">
        <f t="shared" ca="1" si="36"/>
        <v>-1.3418274644222361</v>
      </c>
      <c r="BX26" s="123">
        <f t="shared" ca="1" si="5"/>
        <v>-0.20691651410573186</v>
      </c>
      <c r="BY26" s="123">
        <f t="shared" ca="1" si="37"/>
        <v>-0.33760149361961833</v>
      </c>
      <c r="BZ26" s="123">
        <f t="shared" ca="1" si="38"/>
        <v>-1.3383582474390936</v>
      </c>
      <c r="CA26" s="142"/>
    </row>
    <row r="27" spans="2:79">
      <c r="B27" s="45"/>
      <c r="C27" s="45"/>
      <c r="D27" s="45"/>
      <c r="F27" s="123">
        <f t="shared" si="6"/>
        <v>706.14</v>
      </c>
      <c r="G27" s="260" t="s">
        <v>215</v>
      </c>
      <c r="H27" s="444">
        <v>13</v>
      </c>
      <c r="I27" s="298"/>
      <c r="J27" s="343" t="str">
        <f t="shared" si="7"/>
        <v>0</v>
      </c>
      <c r="K27" s="343" t="str">
        <f t="shared" si="8"/>
        <v>0</v>
      </c>
      <c r="L27" s="343" t="str">
        <f t="shared" si="9"/>
        <v>3</v>
      </c>
      <c r="M27" s="343" t="str">
        <f t="shared" si="10"/>
        <v>0</v>
      </c>
      <c r="N27" s="343" t="str">
        <f t="shared" si="11"/>
        <v>0</v>
      </c>
      <c r="O27" s="343" t="str">
        <f t="shared" si="12"/>
        <v>0</v>
      </c>
      <c r="P27" s="343" t="str">
        <f t="shared" si="13"/>
        <v>7</v>
      </c>
      <c r="Q27" s="343" t="str">
        <f t="shared" si="14"/>
        <v>8</v>
      </c>
      <c r="R27" s="343" t="str">
        <f t="shared" si="15"/>
        <v>0</v>
      </c>
      <c r="S27" s="343" t="str">
        <f t="shared" si="16"/>
        <v>0</v>
      </c>
      <c r="T27" s="343" t="str">
        <f t="shared" si="17"/>
        <v>0</v>
      </c>
      <c r="U27" s="343" t="str">
        <f t="shared" si="18"/>
        <v>0</v>
      </c>
      <c r="V27" s="46">
        <f>[2]!e5aEDthkI(ThEDtbl,J27:U27)</f>
        <v>706.14</v>
      </c>
      <c r="W27" s="46"/>
      <c r="X27" s="177"/>
      <c r="Y27" s="381">
        <v>1.968E-6</v>
      </c>
      <c r="Z27" s="257">
        <v>6.1690000000000005E-8</v>
      </c>
      <c r="AA27" s="257">
        <v>2.3709999999999999E-8</v>
      </c>
      <c r="AB27" s="257">
        <v>8.2090000000000003E-10</v>
      </c>
      <c r="AC27" s="251">
        <v>27.7</v>
      </c>
      <c r="AD27" s="382">
        <v>1008</v>
      </c>
      <c r="AE27" s="46"/>
      <c r="AF27" s="391">
        <f t="shared" si="19"/>
        <v>1.0190916152242346</v>
      </c>
      <c r="AG27" s="391">
        <f t="shared" si="1"/>
        <v>3.1945000885763741E-2</v>
      </c>
      <c r="AH27" s="344">
        <f t="shared" si="20"/>
        <v>281.86</v>
      </c>
      <c r="AI27" s="418">
        <f>[1]!srRng2E($C$13,AH27)</f>
        <v>24.19044352354819</v>
      </c>
      <c r="AJ27" s="124">
        <f>[1]!srE2Rng($C$14,AI27)/1000</f>
        <v>546.31225009800085</v>
      </c>
      <c r="AK27" s="252">
        <f>[1]!srEnewGas($C$14,AI27,$C$21,$AD27*100,$AC27)</f>
        <v>19.000228560724118</v>
      </c>
      <c r="AL27" s="252">
        <f>[1]!srE2LETt($C$12,AK27,0)</f>
        <v>22.317604675618771</v>
      </c>
      <c r="AM27" s="252">
        <f>[1]!srEnew($C$15,AK27,$C$33)</f>
        <v>18.816654745693096</v>
      </c>
      <c r="AN27" s="252">
        <f>[1]!srE2LETt($C$14,AM27,0)</f>
        <v>24.867528862225424</v>
      </c>
      <c r="AO27" s="161">
        <f>[1]!srEnewGas($C$14,AM27,$C$34,AD27*100,AC27)</f>
        <v>18.746609430632986</v>
      </c>
      <c r="AP27" s="372">
        <f t="shared" si="21"/>
        <v>5.8838064650492328</v>
      </c>
      <c r="AQ27" s="252">
        <f t="shared" ca="1" si="22"/>
        <v>6.2276003331755456</v>
      </c>
      <c r="AR27" s="349">
        <f t="shared" ca="1" si="23"/>
        <v>0.24940657003155586</v>
      </c>
      <c r="AS27" s="252">
        <f t="shared" ca="1" si="24"/>
        <v>0.34379386812631285</v>
      </c>
      <c r="AT27" s="419">
        <f t="shared" si="2"/>
        <v>2.3265817955712448E-8</v>
      </c>
      <c r="AU27" s="349">
        <f t="shared" ca="1" si="3"/>
        <v>6.0670840034840454</v>
      </c>
      <c r="AV27" s="349">
        <f t="shared" ca="1" si="25"/>
        <v>0.24428726630661096</v>
      </c>
      <c r="AW27" s="252">
        <f t="shared" ca="1" si="4"/>
        <v>0.18327753843481265</v>
      </c>
      <c r="AX27" s="45"/>
      <c r="AY27" s="45"/>
      <c r="AZ27" s="13">
        <f>[1]!srRng2E($C$13,AZ$11-$V27)</f>
        <v>23.592276773975435</v>
      </c>
      <c r="BA27" s="372">
        <f>[2]!e5adE_ICs(AZ27,$C$14,$C$15,$C$21,$AD27,$AC27,$C$33,$C$34)*$C$7</f>
        <v>5.8838064650492328</v>
      </c>
      <c r="BB27" s="252">
        <f t="shared" ca="1" si="26"/>
        <v>-1.9619230744110654</v>
      </c>
      <c r="BC27" s="45"/>
      <c r="BD27" s="13">
        <f>[1]!srRng2E($C$13,BD$11-$V27)</f>
        <v>23.898774523529525</v>
      </c>
      <c r="BE27" s="372">
        <f>[2]!e5adE_ICs(BD27,$C$14,$C$15,$C$21,$AD27,$AC27,$C$33,$C$34)*$C$7</f>
        <v>5.8838064650489343</v>
      </c>
      <c r="BF27" s="252">
        <f t="shared" ca="1" si="27"/>
        <v>-0.75749397918870542</v>
      </c>
      <c r="BG27" s="45"/>
      <c r="BH27" s="13">
        <f>[1]!srRng2E($C$13,BH$11-$V27)</f>
        <v>24.482112523566858</v>
      </c>
      <c r="BI27" s="372">
        <f>[2]!e5adE_ICs(BH27,$C$14,$C$15,$C$21,$AD27,$AC27,$C$33,$C$34)*$C$7</f>
        <v>5.6390757133033134</v>
      </c>
      <c r="BJ27" s="252">
        <f t="shared" ca="1" si="28"/>
        <v>0.24024037485672789</v>
      </c>
      <c r="BK27" s="45"/>
      <c r="BL27" s="13">
        <f>[1]!srRng2E($C$13,BL$11-$V27)</f>
        <v>24.773781523585523</v>
      </c>
      <c r="BM27" s="372">
        <f>[2]!e5adE_ICs(BL27,$C$14,$C$15,$C$21,$AD27,$AC27,$C$33,$C$34)*$C$7</f>
        <v>5.6390757133033134</v>
      </c>
      <c r="BN27" s="252">
        <f t="shared" ca="1" si="29"/>
        <v>-0.86708357198926489</v>
      </c>
      <c r="BO27" s="45"/>
      <c r="BP27" s="123">
        <f t="shared" si="30"/>
        <v>5.8838064650492328</v>
      </c>
      <c r="BQ27" s="123">
        <f t="shared" si="31"/>
        <v>5.8838064650489343</v>
      </c>
      <c r="BR27" s="123">
        <f t="shared" si="32"/>
        <v>5.8838064650492328</v>
      </c>
      <c r="BS27" s="123">
        <f t="shared" si="33"/>
        <v>5.6390757133033134</v>
      </c>
      <c r="BT27" s="123">
        <f t="shared" si="34"/>
        <v>5.6390757133033134</v>
      </c>
      <c r="BU27" s="45"/>
      <c r="BV27" s="123">
        <f t="shared" ca="1" si="35"/>
        <v>-1.9619230744110654</v>
      </c>
      <c r="BW27" s="123">
        <f t="shared" ca="1" si="36"/>
        <v>-0.75749397918870542</v>
      </c>
      <c r="BX27" s="123">
        <f t="shared" ca="1" si="5"/>
        <v>0.18327753843481265</v>
      </c>
      <c r="BY27" s="123">
        <f t="shared" ca="1" si="37"/>
        <v>0.24024037485672789</v>
      </c>
      <c r="BZ27" s="123">
        <f t="shared" ca="1" si="38"/>
        <v>-0.86708357198926489</v>
      </c>
      <c r="CA27" s="142"/>
    </row>
    <row r="28" spans="2:79">
      <c r="B28" s="189" t="s">
        <v>100</v>
      </c>
      <c r="C28" s="190"/>
      <c r="D28" s="452"/>
      <c r="F28" s="123">
        <f t="shared" si="6"/>
        <v>748.38</v>
      </c>
      <c r="G28" s="260" t="s">
        <v>216</v>
      </c>
      <c r="H28" s="444">
        <v>14</v>
      </c>
      <c r="I28" s="298"/>
      <c r="J28" s="343" t="str">
        <f t="shared" si="7"/>
        <v>0</v>
      </c>
      <c r="K28" s="343" t="str">
        <f t="shared" si="8"/>
        <v>2</v>
      </c>
      <c r="L28" s="343" t="str">
        <f t="shared" si="9"/>
        <v>0</v>
      </c>
      <c r="M28" s="343" t="str">
        <f t="shared" si="10"/>
        <v>4</v>
      </c>
      <c r="N28" s="343" t="str">
        <f t="shared" si="11"/>
        <v>5</v>
      </c>
      <c r="O28" s="343" t="str">
        <f t="shared" si="12"/>
        <v>6</v>
      </c>
      <c r="P28" s="343" t="str">
        <f t="shared" si="13"/>
        <v>0</v>
      </c>
      <c r="Q28" s="343" t="str">
        <f t="shared" si="14"/>
        <v>8</v>
      </c>
      <c r="R28" s="343" t="str">
        <f t="shared" si="15"/>
        <v>0</v>
      </c>
      <c r="S28" s="343" t="str">
        <f t="shared" si="16"/>
        <v>0</v>
      </c>
      <c r="T28" s="343" t="str">
        <f t="shared" si="17"/>
        <v>0</v>
      </c>
      <c r="U28" s="343" t="str">
        <f t="shared" si="18"/>
        <v>0</v>
      </c>
      <c r="V28" s="46">
        <f>[2]!e5aEDthkI(ThEDtbl,J28:U28)</f>
        <v>748.38</v>
      </c>
      <c r="W28" s="46"/>
      <c r="X28" s="177"/>
      <c r="Y28" s="381">
        <v>1.9759999999999998E-6</v>
      </c>
      <c r="Z28" s="257">
        <v>6.4659999999999998E-8</v>
      </c>
      <c r="AA28" s="257">
        <v>2.578E-8</v>
      </c>
      <c r="AB28" s="257">
        <v>1.055E-9</v>
      </c>
      <c r="AC28" s="251">
        <v>27.7</v>
      </c>
      <c r="AD28" s="382">
        <v>1008</v>
      </c>
      <c r="AE28" s="46"/>
      <c r="AF28" s="391">
        <f t="shared" si="19"/>
        <v>1.0232342640666094</v>
      </c>
      <c r="AG28" s="391">
        <f t="shared" si="1"/>
        <v>3.3482959268495427E-2</v>
      </c>
      <c r="AH28" s="344">
        <f t="shared" si="20"/>
        <v>239.62</v>
      </c>
      <c r="AI28" s="418">
        <f>[1]!srRng2E($C$13,AH28)</f>
        <v>21.573820167036047</v>
      </c>
      <c r="AJ28" s="124">
        <f>[1]!srE2Rng($C$14,AI28)/1000</f>
        <v>462.44766763081776</v>
      </c>
      <c r="AK28" s="252">
        <f>[1]!srEnewGas($C$14,AI28,$C$21,$AD28*100,$AC28)</f>
        <v>15.844895046150333</v>
      </c>
      <c r="AL28" s="252">
        <f>[1]!srE2LETt($C$12,AK28,0)</f>
        <v>24.888643828640514</v>
      </c>
      <c r="AM28" s="252">
        <f>[1]!srEnew($C$15,AK28,$C$33)</f>
        <v>15.6443937930175</v>
      </c>
      <c r="AN28" s="252">
        <f>[1]!srE2LETt($C$14,AM28,0)</f>
        <v>28.126423266917605</v>
      </c>
      <c r="AO28" s="161">
        <f>[1]!srEnewGas($C$14,AM28,$C$34,AD28*100,AC28)</f>
        <v>15.5675631295278</v>
      </c>
      <c r="AP28" s="372">
        <f t="shared" si="21"/>
        <v>6.4537757331347834</v>
      </c>
      <c r="AQ28" s="252">
        <f t="shared" ca="1" si="22"/>
        <v>6.8565095790828678</v>
      </c>
      <c r="AR28" s="349">
        <f t="shared" ca="1" si="23"/>
        <v>0.32053104078851435</v>
      </c>
      <c r="AS28" s="252">
        <f t="shared" ca="1" si="24"/>
        <v>0.40273384594808448</v>
      </c>
      <c r="AT28" s="419">
        <f t="shared" si="2"/>
        <v>2.5194621510760708E-8</v>
      </c>
      <c r="AU28" s="349">
        <f t="shared" ca="1" si="3"/>
        <v>6.6410663980573332</v>
      </c>
      <c r="AV28" s="349">
        <f t="shared" ca="1" si="25"/>
        <v>0.31395184060601117</v>
      </c>
      <c r="AW28" s="252">
        <f t="shared" ca="1" si="4"/>
        <v>0.18729066492254987</v>
      </c>
      <c r="AX28" s="45"/>
      <c r="AY28" s="45"/>
      <c r="AZ28" s="13">
        <f>[1]!srRng2E($C$13,AZ$11-$V28)</f>
        <v>20.921761165663604</v>
      </c>
      <c r="BA28" s="372">
        <f>[2]!e5adE_ICs(AZ28,$C$14,$C$15,$C$21,$AD28,$AC28,$C$33,$C$34)*$C$7</f>
        <v>6.781092095955465</v>
      </c>
      <c r="BB28" s="252">
        <f t="shared" ca="1" si="26"/>
        <v>-2.3703155740585382</v>
      </c>
      <c r="BC28" s="45"/>
      <c r="BD28" s="13">
        <f>[1]!srRng2E($C$13,BD$11-$V28)</f>
        <v>21.251715763910884</v>
      </c>
      <c r="BE28" s="372">
        <f>[2]!e5adE_ICs(BD28,$C$14,$C$15,$C$21,$AD28,$AC28,$C$33,$C$34)*$C$7</f>
        <v>6.7810920959556142</v>
      </c>
      <c r="BF28" s="252">
        <f t="shared" ca="1" si="27"/>
        <v>-1.0985797069100238</v>
      </c>
      <c r="BG28" s="45"/>
      <c r="BH28" s="13">
        <f>[1]!srRng2E($C$13,BH$11-$V28)</f>
        <v>21.886856241313247</v>
      </c>
      <c r="BI28" s="372">
        <f>[2]!e5adE_ICs(BH28,$C$14,$C$15,$C$21,$AD28,$AC28,$C$33,$C$34)*$C$7</f>
        <v>6.4537757331347834</v>
      </c>
      <c r="BJ28" s="252">
        <f t="shared" ca="1" si="28"/>
        <v>-3.8772863642242861E-2</v>
      </c>
      <c r="BK28" s="45"/>
      <c r="BL28" s="13">
        <f>[1]!srRng2E($C$13,BL$11-$V28)</f>
        <v>22.199892315590446</v>
      </c>
      <c r="BM28" s="372">
        <f>[2]!e5adE_ICs(BL28,$C$14,$C$15,$C$21,$AD28,$AC28,$C$33,$C$34)*$C$7</f>
        <v>6.4537757331349326</v>
      </c>
      <c r="BN28" s="252">
        <f t="shared" ca="1" si="29"/>
        <v>-1.2175902603325808</v>
      </c>
      <c r="BO28" s="45"/>
      <c r="BP28" s="123">
        <f t="shared" si="30"/>
        <v>6.781092095955465</v>
      </c>
      <c r="BQ28" s="123">
        <f t="shared" si="31"/>
        <v>6.7810920959556142</v>
      </c>
      <c r="BR28" s="123">
        <f t="shared" si="32"/>
        <v>6.4537757331347834</v>
      </c>
      <c r="BS28" s="123">
        <f t="shared" si="33"/>
        <v>6.4537757331347834</v>
      </c>
      <c r="BT28" s="123">
        <f t="shared" si="34"/>
        <v>6.4537757331349326</v>
      </c>
      <c r="BU28" s="45"/>
      <c r="BV28" s="123">
        <f t="shared" ca="1" si="35"/>
        <v>-2.3703155740585382</v>
      </c>
      <c r="BW28" s="123">
        <f t="shared" ca="1" si="36"/>
        <v>-1.0985797069100238</v>
      </c>
      <c r="BX28" s="123">
        <f t="shared" ca="1" si="5"/>
        <v>0.18729066492254987</v>
      </c>
      <c r="BY28" s="123">
        <f t="shared" ca="1" si="37"/>
        <v>-3.8772863642242861E-2</v>
      </c>
      <c r="BZ28" s="123">
        <f t="shared" ca="1" si="38"/>
        <v>-1.2175902603325808</v>
      </c>
      <c r="CA28" s="142"/>
    </row>
    <row r="29" spans="2:79">
      <c r="B29" s="176" t="s">
        <v>34</v>
      </c>
      <c r="C29" s="387">
        <f>ExpR</f>
        <v>988</v>
      </c>
      <c r="D29" s="175" t="s">
        <v>99</v>
      </c>
      <c r="F29" s="123">
        <f t="shared" si="6"/>
        <v>777.73</v>
      </c>
      <c r="G29" s="260" t="s">
        <v>202</v>
      </c>
      <c r="H29" s="444">
        <v>15</v>
      </c>
      <c r="I29" s="298"/>
      <c r="J29" s="343" t="str">
        <f t="shared" si="7"/>
        <v>1</v>
      </c>
      <c r="K29" s="343" t="str">
        <f t="shared" si="8"/>
        <v>2</v>
      </c>
      <c r="L29" s="343" t="str">
        <f t="shared" si="9"/>
        <v>3</v>
      </c>
      <c r="M29" s="343" t="str">
        <f t="shared" si="10"/>
        <v>4</v>
      </c>
      <c r="N29" s="343" t="str">
        <f t="shared" si="11"/>
        <v>0</v>
      </c>
      <c r="O29" s="343" t="str">
        <f t="shared" si="12"/>
        <v>0</v>
      </c>
      <c r="P29" s="343" t="str">
        <f t="shared" si="13"/>
        <v>7</v>
      </c>
      <c r="Q29" s="343" t="str">
        <f t="shared" si="14"/>
        <v>8</v>
      </c>
      <c r="R29" s="343" t="str">
        <f t="shared" si="15"/>
        <v>0</v>
      </c>
      <c r="S29" s="343" t="str">
        <f t="shared" si="16"/>
        <v>0</v>
      </c>
      <c r="T29" s="343" t="str">
        <f t="shared" si="17"/>
        <v>0</v>
      </c>
      <c r="U29" s="343" t="str">
        <f t="shared" si="18"/>
        <v>0</v>
      </c>
      <c r="V29" s="46">
        <f>[2]!e5aEDthkI(ThEDtbl,J29:U29)</f>
        <v>777.73</v>
      </c>
      <c r="W29" s="46"/>
      <c r="X29" s="177"/>
      <c r="Y29" s="381">
        <v>1.9130000000000001E-6</v>
      </c>
      <c r="Z29" s="257">
        <v>7.2429999999999994E-8</v>
      </c>
      <c r="AA29" s="257">
        <v>2.735E-8</v>
      </c>
      <c r="AB29" s="257">
        <v>5.7029999999999998E-10</v>
      </c>
      <c r="AC29" s="251">
        <v>27.7</v>
      </c>
      <c r="AD29" s="382">
        <v>1008</v>
      </c>
      <c r="AE29" s="46"/>
      <c r="AF29" s="391">
        <f t="shared" si="19"/>
        <v>0.990610904432907</v>
      </c>
      <c r="AG29" s="391">
        <f t="shared" si="1"/>
        <v>3.7506506956652086E-2</v>
      </c>
      <c r="AH29" s="344">
        <f t="shared" si="20"/>
        <v>210.26999999999998</v>
      </c>
      <c r="AI29" s="418">
        <f>[1]!srRng2E($C$13,AH29)</f>
        <v>19.622662175853662</v>
      </c>
      <c r="AJ29" s="124">
        <f>[1]!srE2Rng($C$14,AI29)/1000</f>
        <v>404.28678550891311</v>
      </c>
      <c r="AK29" s="252">
        <f>[1]!srEnewGas($C$14,AI29,$C$21,$AD29*100,$AC29)</f>
        <v>13.398345921760205</v>
      </c>
      <c r="AL29" s="252">
        <f>[1]!srE2LETt($C$12,AK29,0)</f>
        <v>27.272880914842478</v>
      </c>
      <c r="AM29" s="252">
        <f>[1]!srEnew($C$15,AK29,$C$33)</f>
        <v>13.178091307426035</v>
      </c>
      <c r="AN29" s="252">
        <f>[1]!srE2LETt($C$14,AM29,0)</f>
        <v>31.227426187893748</v>
      </c>
      <c r="AO29" s="161">
        <f>[1]!srEnewGas($C$14,AM29,$C$34,AD29*100,AC29)</f>
        <v>13.093099664105621</v>
      </c>
      <c r="AP29" s="372">
        <f t="shared" si="21"/>
        <v>7.1392980389148022</v>
      </c>
      <c r="AQ29" s="252">
        <f t="shared" ca="1" si="22"/>
        <v>7.3335083791188556</v>
      </c>
      <c r="AR29" s="349">
        <f t="shared" ca="1" si="23"/>
        <v>0.17326905456084335</v>
      </c>
      <c r="AS29" s="252">
        <f t="shared" ca="1" si="24"/>
        <v>0.19421034020405337</v>
      </c>
      <c r="AT29" s="419">
        <f t="shared" si="2"/>
        <v>2.7609225658238639E-8</v>
      </c>
      <c r="AU29" s="349">
        <f t="shared" ca="1" si="3"/>
        <v>7.3596156079489017</v>
      </c>
      <c r="AV29" s="349">
        <f t="shared" ca="1" si="25"/>
        <v>0.16971254473706934</v>
      </c>
      <c r="AW29" s="161">
        <f t="shared" ca="1" si="4"/>
        <v>0.22031756903409949</v>
      </c>
      <c r="AX29" s="9"/>
      <c r="AY29" s="9"/>
      <c r="AZ29" s="13">
        <f>[1]!srRng2E($C$13,AZ$11-$V29)</f>
        <v>18.933697881066301</v>
      </c>
      <c r="BA29" s="372">
        <f>[2]!e5adE_ICs(AZ29,$C$14,$C$15,$C$21,$AD29,$AC29,$C$33,$C$34)*$C$7</f>
        <v>7.5085756399446382</v>
      </c>
      <c r="BB29" s="161">
        <f t="shared" ca="1" si="26"/>
        <v>-2.4857702884029331</v>
      </c>
      <c r="BC29" s="9"/>
      <c r="BD29" s="13">
        <f>[1]!srRng2E($C$13,BD$11-$V29)</f>
        <v>19.280374599523533</v>
      </c>
      <c r="BE29" s="372">
        <f>[2]!e5adE_ICs(BD29,$C$14,$C$15,$C$21,$AD29,$AC29,$C$33,$C$34)*$C$7</f>
        <v>7.5085756399446382</v>
      </c>
      <c r="BF29" s="161">
        <f t="shared" ca="1" si="27"/>
        <v>-1.1297753424994843</v>
      </c>
      <c r="BG29" s="9"/>
      <c r="BH29" s="13">
        <f>[1]!srRng2E($C$13,BH$11-$V29)</f>
        <v>19.964949752183792</v>
      </c>
      <c r="BI29" s="372">
        <f>[2]!e5adE_ICs(BH29,$C$14,$C$15,$C$21,$AD29,$AC29,$C$33,$C$34)*$C$7</f>
        <v>7.1302472608816529</v>
      </c>
      <c r="BJ29" s="161">
        <f t="shared" ca="1" si="28"/>
        <v>-4.4636168706636781E-2</v>
      </c>
      <c r="BK29" s="9"/>
      <c r="BL29" s="13">
        <f>[1]!srRng2E($C$13,BL$11-$V29)</f>
        <v>20.304746066941188</v>
      </c>
      <c r="BM29" s="372">
        <f>[2]!e5adE_ICs(BL29,$C$14,$C$15,$C$21,$AD29,$AC29,$C$33,$C$34)*$C$7</f>
        <v>7.1302472608815037</v>
      </c>
      <c r="BN29" s="161">
        <f t="shared" ca="1" si="29"/>
        <v>-1.3129538050968153</v>
      </c>
      <c r="BO29" s="9"/>
      <c r="BP29" s="124">
        <f t="shared" si="30"/>
        <v>7.5085756399446382</v>
      </c>
      <c r="BQ29" s="124">
        <f t="shared" si="31"/>
        <v>7.5085756399446382</v>
      </c>
      <c r="BR29" s="124">
        <f t="shared" si="32"/>
        <v>7.1392980389148022</v>
      </c>
      <c r="BS29" s="124">
        <f t="shared" si="33"/>
        <v>7.1302472608816529</v>
      </c>
      <c r="BT29" s="123">
        <f t="shared" si="34"/>
        <v>7.1302472608815037</v>
      </c>
      <c r="BU29" s="9"/>
      <c r="BV29" s="124">
        <f t="shared" ca="1" si="35"/>
        <v>-2.4857702884029331</v>
      </c>
      <c r="BW29" s="124">
        <f t="shared" ca="1" si="36"/>
        <v>-1.1297753424994843</v>
      </c>
      <c r="BX29" s="124">
        <f t="shared" ca="1" si="5"/>
        <v>0.22031756903409949</v>
      </c>
      <c r="BY29" s="124">
        <f t="shared" ca="1" si="37"/>
        <v>-4.4636168706636781E-2</v>
      </c>
      <c r="BZ29" s="123">
        <f t="shared" ca="1" si="38"/>
        <v>-1.3129538050968153</v>
      </c>
      <c r="CA29" s="142"/>
    </row>
    <row r="30" spans="2:79">
      <c r="B30" s="45"/>
      <c r="C30" s="192" t="s">
        <v>185</v>
      </c>
      <c r="D30" s="45"/>
      <c r="F30" s="123">
        <f t="shared" si="6"/>
        <v>795.94</v>
      </c>
      <c r="G30" s="260" t="s">
        <v>261</v>
      </c>
      <c r="H30" s="444">
        <v>16</v>
      </c>
      <c r="I30" s="298"/>
      <c r="J30" s="343" t="str">
        <f t="shared" si="7"/>
        <v>0</v>
      </c>
      <c r="K30" s="343" t="str">
        <f t="shared" si="8"/>
        <v>2</v>
      </c>
      <c r="L30" s="343" t="str">
        <f t="shared" si="9"/>
        <v>0</v>
      </c>
      <c r="M30" s="343" t="str">
        <f t="shared" si="10"/>
        <v>0</v>
      </c>
      <c r="N30" s="343" t="str">
        <f t="shared" si="11"/>
        <v>0</v>
      </c>
      <c r="O30" s="343" t="str">
        <f t="shared" si="12"/>
        <v>6</v>
      </c>
      <c r="P30" s="343" t="str">
        <f t="shared" si="13"/>
        <v>7</v>
      </c>
      <c r="Q30" s="343" t="str">
        <f t="shared" si="14"/>
        <v>8</v>
      </c>
      <c r="R30" s="343" t="str">
        <f t="shared" si="15"/>
        <v>0</v>
      </c>
      <c r="S30" s="343" t="str">
        <f t="shared" si="16"/>
        <v>0</v>
      </c>
      <c r="T30" s="343" t="str">
        <f t="shared" si="17"/>
        <v>0</v>
      </c>
      <c r="U30" s="343" t="str">
        <f t="shared" si="18"/>
        <v>0</v>
      </c>
      <c r="V30" s="46">
        <f>[2]!e5aEDthkI(ThEDtbl,J30:U30)</f>
        <v>795.94</v>
      </c>
      <c r="W30" s="46"/>
      <c r="X30" s="177"/>
      <c r="Y30" s="381">
        <v>1.9369999999999998E-6</v>
      </c>
      <c r="Z30" s="257">
        <v>6.514E-8</v>
      </c>
      <c r="AA30" s="257">
        <v>2.899E-8</v>
      </c>
      <c r="AB30" s="257">
        <v>1.0480000000000001E-9</v>
      </c>
      <c r="AC30" s="251">
        <v>27.7</v>
      </c>
      <c r="AD30" s="382">
        <v>1008</v>
      </c>
      <c r="AE30" s="46"/>
      <c r="AF30" s="391">
        <f t="shared" si="19"/>
        <v>1.0030388509600316</v>
      </c>
      <c r="AG30" s="391">
        <f t="shared" si="1"/>
        <v>3.3731518199037927E-2</v>
      </c>
      <c r="AH30" s="344">
        <f t="shared" si="20"/>
        <v>192.05999999999995</v>
      </c>
      <c r="AI30" s="418">
        <f>[1]!srRng2E($C$13,AH30)</f>
        <v>18.349139895192522</v>
      </c>
      <c r="AJ30" s="124">
        <f>[1]!srE2Rng($C$14,AI30)/1000</f>
        <v>368.34749401913865</v>
      </c>
      <c r="AK30" s="252">
        <f>[1]!srEnewGas($C$14,AI30,$C$21,$AD30*100,$AC30)</f>
        <v>11.749507976572241</v>
      </c>
      <c r="AL30" s="252">
        <f>[1]!srE2LETt($C$12,AK30,0)</f>
        <v>29.105809462413667</v>
      </c>
      <c r="AM30" s="252">
        <f>[1]!srEnew($C$15,AK30,$C$33)</f>
        <v>11.506181213061524</v>
      </c>
      <c r="AN30" s="252">
        <f>[1]!srE2LETt($C$14,AM30,0)</f>
        <v>33.598104304382268</v>
      </c>
      <c r="AO30" s="161">
        <f>[1]!srEnewGas($C$14,AM30,$C$34,AD30*100,AC30)</f>
        <v>11.412015846630247</v>
      </c>
      <c r="AP30" s="372">
        <f t="shared" si="21"/>
        <v>7.9098907802272436</v>
      </c>
      <c r="AQ30" s="252">
        <f t="shared" ca="1" si="22"/>
        <v>7.831774641576831</v>
      </c>
      <c r="AR30" s="349">
        <f t="shared" ca="1" si="23"/>
        <v>0.31840429454631569</v>
      </c>
      <c r="AS30" s="252">
        <f t="shared" ca="1" si="24"/>
        <v>-7.8116138650412559E-2</v>
      </c>
      <c r="AT30" s="419">
        <f t="shared" si="2"/>
        <v>2.8902170611091487E-8</v>
      </c>
      <c r="AU30" s="349">
        <f t="shared" ca="1" si="3"/>
        <v>7.7443762219303274</v>
      </c>
      <c r="AV30" s="349">
        <f t="shared" ca="1" si="25"/>
        <v>0.31186874782473906</v>
      </c>
      <c r="AW30" s="161">
        <f t="shared" ca="1" si="4"/>
        <v>-0.16551455829691619</v>
      </c>
      <c r="AX30" s="9"/>
      <c r="AY30" s="9"/>
      <c r="AZ30" s="13">
        <f>[1]!srRng2E($C$13,AZ$11-$V30)</f>
        <v>17.627948375611922</v>
      </c>
      <c r="BA30" s="372">
        <f>[2]!e5adE_ICs(AZ30,$C$14,$C$15,$C$21,$AD30,$AC30,$C$33,$C$34)*$C$7</f>
        <v>8.3278102673268535</v>
      </c>
      <c r="BB30" s="161">
        <f t="shared" ca="1" si="26"/>
        <v>-2.9772826317344929</v>
      </c>
      <c r="BC30" s="9"/>
      <c r="BD30" s="13">
        <f>[1]!srRng2E($C$13,BD$11-$V30)</f>
        <v>17.993136249715192</v>
      </c>
      <c r="BE30" s="372">
        <f>[2]!e5adE_ICs(BD30,$C$14,$C$15,$C$21,$AD30,$AC30,$C$33,$C$34)*$C$7</f>
        <v>7.9098907802272436</v>
      </c>
      <c r="BF30" s="161">
        <f t="shared" ca="1" si="27"/>
        <v>-1.1582500990537623</v>
      </c>
      <c r="BG30" s="9"/>
      <c r="BH30" s="13">
        <f>[1]!srRng2E($C$13,BH$11-$V30)</f>
        <v>18.705143540669852</v>
      </c>
      <c r="BI30" s="372">
        <f>[2]!e5adE_ICs(BH30,$C$14,$C$15,$C$21,$AD30,$AC30,$C$33,$C$34)*$C$7</f>
        <v>7.5707047861161669</v>
      </c>
      <c r="BJ30" s="161">
        <f t="shared" ca="1" si="28"/>
        <v>-0.12600397823575271</v>
      </c>
      <c r="BK30" s="9"/>
      <c r="BL30" s="13">
        <f>[1]!srRng2E($C$13,BL$11-$V30)</f>
        <v>19.060625975519589</v>
      </c>
      <c r="BM30" s="372">
        <f>[2]!e5adE_ICs(BL30,$C$14,$C$15,$C$21,$AD30,$AC30,$C$33,$C$34)*$C$7</f>
        <v>7.508575639944489</v>
      </c>
      <c r="BN30" s="161">
        <f t="shared" ca="1" si="29"/>
        <v>-1.3801170457894836</v>
      </c>
      <c r="BO30" s="9"/>
      <c r="BP30" s="124">
        <f t="shared" si="30"/>
        <v>8.3278102673268535</v>
      </c>
      <c r="BQ30" s="124">
        <f t="shared" si="31"/>
        <v>7.9098907802272436</v>
      </c>
      <c r="BR30" s="124">
        <f t="shared" si="32"/>
        <v>7.9098907802272436</v>
      </c>
      <c r="BS30" s="124">
        <f t="shared" si="33"/>
        <v>7.5707047861161669</v>
      </c>
      <c r="BT30" s="123">
        <f t="shared" si="34"/>
        <v>7.508575639944489</v>
      </c>
      <c r="BU30" s="9"/>
      <c r="BV30" s="124">
        <f t="shared" ca="1" si="35"/>
        <v>-2.9772826317344929</v>
      </c>
      <c r="BW30" s="124">
        <f t="shared" ca="1" si="36"/>
        <v>-1.1582500990537623</v>
      </c>
      <c r="BX30" s="124">
        <f t="shared" ca="1" si="5"/>
        <v>-0.16551455829691619</v>
      </c>
      <c r="BY30" s="124">
        <f t="shared" ca="1" si="37"/>
        <v>-0.12600397823575271</v>
      </c>
      <c r="BZ30" s="123">
        <f t="shared" ca="1" si="38"/>
        <v>-1.3801170457894836</v>
      </c>
      <c r="CA30" s="142"/>
    </row>
    <row r="31" spans="2:79">
      <c r="F31" s="123">
        <f t="shared" si="6"/>
        <v>806.94</v>
      </c>
      <c r="G31" s="260" t="s">
        <v>217</v>
      </c>
      <c r="H31" s="444">
        <v>17</v>
      </c>
      <c r="I31" s="298"/>
      <c r="J31" s="343" t="str">
        <f t="shared" si="7"/>
        <v>0</v>
      </c>
      <c r="K31" s="343" t="str">
        <f t="shared" si="8"/>
        <v>0</v>
      </c>
      <c r="L31" s="343" t="str">
        <f t="shared" si="9"/>
        <v>3</v>
      </c>
      <c r="M31" s="343" t="str">
        <f t="shared" si="10"/>
        <v>0</v>
      </c>
      <c r="N31" s="343" t="str">
        <f t="shared" si="11"/>
        <v>0</v>
      </c>
      <c r="O31" s="343" t="str">
        <f t="shared" si="12"/>
        <v>6</v>
      </c>
      <c r="P31" s="343" t="str">
        <f t="shared" si="13"/>
        <v>7</v>
      </c>
      <c r="Q31" s="343" t="str">
        <f t="shared" si="14"/>
        <v>8</v>
      </c>
      <c r="R31" s="343" t="str">
        <f t="shared" si="15"/>
        <v>0</v>
      </c>
      <c r="S31" s="343" t="str">
        <f t="shared" si="16"/>
        <v>0</v>
      </c>
      <c r="T31" s="343" t="str">
        <f t="shared" si="17"/>
        <v>0</v>
      </c>
      <c r="U31" s="343" t="str">
        <f t="shared" si="18"/>
        <v>0</v>
      </c>
      <c r="V31" s="46">
        <f>[2]!e5aEDthkI(ThEDtbl,J31:U31)</f>
        <v>806.94</v>
      </c>
      <c r="W31" s="46"/>
      <c r="X31" s="177"/>
      <c r="Y31" s="381">
        <v>1.933E-6</v>
      </c>
      <c r="Z31" s="257">
        <v>8.4320000000000003E-8</v>
      </c>
      <c r="AA31" s="257">
        <v>2.7450000000000001E-8</v>
      </c>
      <c r="AB31" s="257">
        <v>7.7240000000000002E-9</v>
      </c>
      <c r="AC31" s="251">
        <v>27.7</v>
      </c>
      <c r="AD31" s="382">
        <v>1008</v>
      </c>
      <c r="AE31" s="46"/>
      <c r="AF31" s="391">
        <f t="shared" si="19"/>
        <v>1.0009675265388442</v>
      </c>
      <c r="AG31" s="391">
        <f t="shared" si="1"/>
        <v>4.366351879863184E-2</v>
      </c>
      <c r="AH31" s="344">
        <f t="shared" si="20"/>
        <v>181.05999999999995</v>
      </c>
      <c r="AI31" s="418">
        <f>[1]!srRng2E($C$13,AH31)</f>
        <v>17.553775404242689</v>
      </c>
      <c r="AJ31" s="124">
        <f>[1]!srE2Rng($C$14,AI31)/1000</f>
        <v>346.70544548286591</v>
      </c>
      <c r="AK31" s="252">
        <f>[1]!srEnewGas($C$14,AI31,$C$21,$AD31*100,$AC31)</f>
        <v>10.697488212270249</v>
      </c>
      <c r="AL31" s="252">
        <f>[1]!srE2LETt($C$12,AK31,0)</f>
        <v>30.38126930269781</v>
      </c>
      <c r="AM31" s="252">
        <f>[1]!srEnew($C$15,AK31,$C$33)</f>
        <v>10.441471827221607</v>
      </c>
      <c r="AN31" s="252">
        <f>[1]!srE2LETt($C$14,AM31,0)</f>
        <v>35.187599738970249</v>
      </c>
      <c r="AO31" s="161">
        <f>[1]!srEnewGas($C$14,AM31,$C$34,AD31*100,AC31)</f>
        <v>10.342331228801049</v>
      </c>
      <c r="AP31" s="372">
        <f t="shared" si="21"/>
        <v>8.3278102673268535</v>
      </c>
      <c r="AQ31" s="252">
        <f t="shared" ca="1" si="22"/>
        <v>7.363890468293123</v>
      </c>
      <c r="AR31" s="349">
        <f t="shared" ca="1" si="23"/>
        <v>2.3467125678203646</v>
      </c>
      <c r="AS31" s="252">
        <f t="shared" ca="1" si="24"/>
        <v>-0.96391979903373048</v>
      </c>
      <c r="AT31" s="419">
        <f t="shared" si="2"/>
        <v>2.742346706782476E-8</v>
      </c>
      <c r="AU31" s="349">
        <f t="shared" ca="1" si="3"/>
        <v>7.3043366966988401</v>
      </c>
      <c r="AV31" s="349">
        <f t="shared" ca="1" si="25"/>
        <v>2.2985440917922562</v>
      </c>
      <c r="AW31" s="161">
        <f t="shared" ca="1" si="4"/>
        <v>-1.0234735706280134</v>
      </c>
      <c r="AX31" s="9"/>
      <c r="AY31" s="9"/>
      <c r="AZ31" s="13">
        <f>[1]!srRng2E($C$13,AZ$11-$V31)</f>
        <v>16.812045690550359</v>
      </c>
      <c r="BA31" s="372">
        <f>[2]!e5adE_ICs(AZ31,$C$14,$C$15,$C$21,$AD31,$AC31,$C$33,$C$34)*$C$7</f>
        <v>8.760570403224925</v>
      </c>
      <c r="BB31" s="161">
        <f t="shared" ca="1" si="26"/>
        <v>-3.7848492136176795</v>
      </c>
      <c r="BC31" s="9"/>
      <c r="BD31" s="13">
        <f>[1]!srRng2E($C$13,BD$11-$V31)</f>
        <v>17.182910547396524</v>
      </c>
      <c r="BE31" s="372">
        <f>[2]!e5adE_ICs(BD31,$C$14,$C$15,$C$21,$AD31,$AC31,$C$33,$C$34)*$C$7</f>
        <v>8.3278102673268535</v>
      </c>
      <c r="BF31" s="161">
        <f t="shared" ca="1" si="27"/>
        <v>-2.0025762906890368</v>
      </c>
      <c r="BG31" s="9"/>
      <c r="BH31" s="13">
        <f>[1]!srRng2E($C$13,BH$11-$V31)</f>
        <v>17.921935520619726</v>
      </c>
      <c r="BI31" s="372">
        <f>[2]!e5adE_ICs(BH31,$C$14,$C$15,$C$21,$AD31,$AC31,$C$33,$C$34)*$C$7</f>
        <v>7.9098907802272436</v>
      </c>
      <c r="BJ31" s="161">
        <f t="shared" ca="1" si="28"/>
        <v>-0.87587043773911422</v>
      </c>
      <c r="BK31" s="9"/>
      <c r="BL31" s="13">
        <f>[1]!srRng2E($C$13,BL$11-$V31)</f>
        <v>18.277939166097056</v>
      </c>
      <c r="BM31" s="372">
        <f>[2]!e5adE_ICs(BL31,$C$14,$C$15,$C$21,$AD31,$AC31,$C$33,$C$34)*$C$7</f>
        <v>7.9098907802272436</v>
      </c>
      <c r="BN31" s="161">
        <f t="shared" ca="1" si="29"/>
        <v>-2.1373027060305896</v>
      </c>
      <c r="BO31" s="9"/>
      <c r="BP31" s="124">
        <f t="shared" si="30"/>
        <v>8.760570403224925</v>
      </c>
      <c r="BQ31" s="124">
        <f t="shared" si="31"/>
        <v>8.3278102673268535</v>
      </c>
      <c r="BR31" s="124">
        <f t="shared" si="32"/>
        <v>8.3278102673268535</v>
      </c>
      <c r="BS31" s="124">
        <f t="shared" si="33"/>
        <v>7.9098907802272436</v>
      </c>
      <c r="BT31" s="123">
        <f t="shared" si="34"/>
        <v>7.9098907802272436</v>
      </c>
      <c r="BU31" s="9"/>
      <c r="BV31" s="124">
        <f t="shared" ca="1" si="35"/>
        <v>-3.7848492136176795</v>
      </c>
      <c r="BW31" s="124">
        <f t="shared" ca="1" si="36"/>
        <v>-2.0025762906890368</v>
      </c>
      <c r="BX31" s="124">
        <f t="shared" ca="1" si="5"/>
        <v>-1.0234735706280134</v>
      </c>
      <c r="BY31" s="124">
        <f t="shared" ca="1" si="37"/>
        <v>-0.87587043773911422</v>
      </c>
      <c r="BZ31" s="123">
        <f t="shared" ca="1" si="38"/>
        <v>-2.1373027060305896</v>
      </c>
      <c r="CA31" s="142"/>
    </row>
    <row r="32" spans="2:79">
      <c r="B32" s="103" t="s">
        <v>101</v>
      </c>
      <c r="C32" s="152" t="s">
        <v>98</v>
      </c>
      <c r="F32" s="123">
        <f t="shared" si="6"/>
        <v>816.57999999999993</v>
      </c>
      <c r="G32" s="260" t="s">
        <v>262</v>
      </c>
      <c r="H32" s="444">
        <v>18</v>
      </c>
      <c r="I32" s="298"/>
      <c r="J32" s="343" t="str">
        <f t="shared" si="7"/>
        <v>1</v>
      </c>
      <c r="K32" s="343" t="str">
        <f t="shared" si="8"/>
        <v>0</v>
      </c>
      <c r="L32" s="343" t="str">
        <f t="shared" si="9"/>
        <v>3</v>
      </c>
      <c r="M32" s="343" t="str">
        <f t="shared" si="10"/>
        <v>0</v>
      </c>
      <c r="N32" s="343" t="str">
        <f t="shared" si="11"/>
        <v>5</v>
      </c>
      <c r="O32" s="343" t="str">
        <f t="shared" si="12"/>
        <v>0</v>
      </c>
      <c r="P32" s="343" t="str">
        <f t="shared" si="13"/>
        <v>7</v>
      </c>
      <c r="Q32" s="343" t="str">
        <f t="shared" si="14"/>
        <v>8</v>
      </c>
      <c r="R32" s="343" t="str">
        <f t="shared" si="15"/>
        <v>0</v>
      </c>
      <c r="S32" s="343" t="str">
        <f t="shared" si="16"/>
        <v>0</v>
      </c>
      <c r="T32" s="343" t="str">
        <f t="shared" si="17"/>
        <v>0</v>
      </c>
      <c r="U32" s="343" t="str">
        <f t="shared" si="18"/>
        <v>0</v>
      </c>
      <c r="V32" s="46">
        <f>[2]!e5aEDthkI(ThEDtbl,J32:U32)</f>
        <v>816.57999999999993</v>
      </c>
      <c r="W32" s="46"/>
      <c r="X32" s="177"/>
      <c r="Y32" s="381">
        <v>1.8950000000000001E-6</v>
      </c>
      <c r="Z32" s="257">
        <v>6.9320000000000001E-8</v>
      </c>
      <c r="AA32" s="257">
        <v>3.0729999999999998E-8</v>
      </c>
      <c r="AB32" s="257">
        <v>1.092E-9</v>
      </c>
      <c r="AC32" s="251">
        <v>27.7</v>
      </c>
      <c r="AD32" s="382">
        <v>1008</v>
      </c>
      <c r="AE32" s="46"/>
      <c r="AF32" s="391">
        <f t="shared" si="19"/>
        <v>0.98128994453756335</v>
      </c>
      <c r="AG32" s="391">
        <f t="shared" si="1"/>
        <v>3.5896052219178833E-2</v>
      </c>
      <c r="AH32" s="344">
        <f t="shared" si="20"/>
        <v>171.42000000000007</v>
      </c>
      <c r="AI32" s="418">
        <f>[1]!srRng2E($C$13,AH32)</f>
        <v>16.838747960243293</v>
      </c>
      <c r="AJ32" s="124">
        <f>[1]!srE2Rng($C$14,AI32)/1000</f>
        <v>327.79182554517143</v>
      </c>
      <c r="AK32" s="252">
        <f>[1]!srEnewGas($C$14,AI32,$C$21,$AD32*100,$AC32)</f>
        <v>9.730296880159381</v>
      </c>
      <c r="AL32" s="252">
        <f>[1]!srE2LETt($C$12,AK32,0)</f>
        <v>31.634158508647843</v>
      </c>
      <c r="AM32" s="252">
        <f>[1]!srEnew($C$15,AK32,$C$33)</f>
        <v>9.4717031927123845</v>
      </c>
      <c r="AN32" s="252">
        <f>[1]!srE2LETt($C$14,AM32,0)</f>
        <v>36.673741735024187</v>
      </c>
      <c r="AO32" s="161">
        <f>[1]!srEnewGas($C$14,AM32,$C$34,AD32*100,AC32)</f>
        <v>9.3674106879120878</v>
      </c>
      <c r="AP32" s="372">
        <f t="shared" si="21"/>
        <v>8.760570403224925</v>
      </c>
      <c r="AQ32" s="252">
        <f t="shared" ca="1" si="22"/>
        <v>8.3604229932090721</v>
      </c>
      <c r="AR32" s="349">
        <f t="shared" ca="1" si="23"/>
        <v>0.33177241378299305</v>
      </c>
      <c r="AS32" s="252">
        <f t="shared" ca="1" si="24"/>
        <v>-0.40014741001585286</v>
      </c>
      <c r="AT32" s="419">
        <f t="shared" si="2"/>
        <v>3.1315922649631994E-8</v>
      </c>
      <c r="AU32" s="349">
        <f t="shared" ca="1" si="3"/>
        <v>8.462671857253838</v>
      </c>
      <c r="AV32" s="349">
        <f t="shared" ca="1" si="25"/>
        <v>0.32496247387844945</v>
      </c>
      <c r="AW32" s="161">
        <f t="shared" ca="1" si="4"/>
        <v>-0.297898545971087</v>
      </c>
      <c r="AX32" s="9"/>
      <c r="AY32" s="9"/>
      <c r="AZ32" s="13">
        <f>[1]!srRng2E($C$13,AZ$11-$V32)</f>
        <v>16.072588879606428</v>
      </c>
      <c r="BA32" s="372">
        <f>[2]!e5adE_ICs(AZ32,$C$14,$C$15,$C$21,$AD32,$AC32,$C$33,$C$34)*$C$7</f>
        <v>8.8155327886215389</v>
      </c>
      <c r="BB32" s="161">
        <f t="shared" ca="1" si="26"/>
        <v>-2.8531923071249432</v>
      </c>
      <c r="BC32" s="9"/>
      <c r="BD32" s="13">
        <f>[1]!srRng2E($C$13,BD$11-$V32)</f>
        <v>16.459358272223778</v>
      </c>
      <c r="BE32" s="372">
        <f>[2]!e5adE_ICs(BD32,$C$14,$C$15,$C$21,$AD32,$AC32,$C$33,$C$34)*$C$7</f>
        <v>8.760570403224925</v>
      </c>
      <c r="BF32" s="161">
        <f t="shared" ca="1" si="27"/>
        <v>-1.312887532251505</v>
      </c>
      <c r="BG32" s="9"/>
      <c r="BH32" s="13">
        <f>[1]!srRng2E($C$13,BH$11-$V32)</f>
        <v>17.209612817089457</v>
      </c>
      <c r="BI32" s="372">
        <f>[2]!e5adE_ICs(BH32,$C$14,$C$15,$C$21,$AD32,$AC32,$C$33,$C$34)*$C$7</f>
        <v>8.3278102673268535</v>
      </c>
      <c r="BJ32" s="161">
        <f t="shared" ca="1" si="28"/>
        <v>-0.21273789305425161</v>
      </c>
      <c r="BK32" s="9"/>
      <c r="BL32" s="13">
        <f>[1]!srRng2E($C$13,BL$11-$V32)</f>
        <v>17.580477673935622</v>
      </c>
      <c r="BM32" s="372">
        <f>[2]!e5adE_ICs(BL32,$C$14,$C$15,$C$21,$AD32,$AC32,$C$33,$C$34)*$C$7</f>
        <v>8.3278102673268535</v>
      </c>
      <c r="BN32" s="161">
        <f t="shared" ca="1" si="29"/>
        <v>-1.6184487620255821</v>
      </c>
      <c r="BO32" s="9"/>
      <c r="BP32" s="124">
        <f t="shared" si="30"/>
        <v>8.8155327886215389</v>
      </c>
      <c r="BQ32" s="124">
        <f t="shared" si="31"/>
        <v>8.760570403224925</v>
      </c>
      <c r="BR32" s="124">
        <f t="shared" si="32"/>
        <v>8.760570403224925</v>
      </c>
      <c r="BS32" s="124">
        <f t="shared" si="33"/>
        <v>8.3278102673268535</v>
      </c>
      <c r="BT32" s="123">
        <f t="shared" si="34"/>
        <v>8.3278102673268535</v>
      </c>
      <c r="BU32" s="9"/>
      <c r="BV32" s="124">
        <f t="shared" ca="1" si="35"/>
        <v>-2.8531923071249432</v>
      </c>
      <c r="BW32" s="124">
        <f t="shared" ca="1" si="36"/>
        <v>-1.312887532251505</v>
      </c>
      <c r="BX32" s="124">
        <f t="shared" ca="1" si="5"/>
        <v>-0.297898545971087</v>
      </c>
      <c r="BY32" s="124">
        <f t="shared" ca="1" si="37"/>
        <v>-0.21273789305425161</v>
      </c>
      <c r="BZ32" s="123">
        <f t="shared" ca="1" si="38"/>
        <v>-1.6184487620255821</v>
      </c>
      <c r="CA32" s="142"/>
    </row>
    <row r="33" spans="2:79">
      <c r="B33" s="104" t="s">
        <v>65</v>
      </c>
      <c r="C33" s="389">
        <f>ICs_Mylar</f>
        <v>4</v>
      </c>
      <c r="D33" s="51"/>
      <c r="E33" s="51"/>
      <c r="F33" s="124">
        <f t="shared" si="6"/>
        <v>829.37999999999988</v>
      </c>
      <c r="G33" s="498" t="s">
        <v>218</v>
      </c>
      <c r="H33" s="233">
        <v>19</v>
      </c>
      <c r="I33" s="297"/>
      <c r="J33" s="343" t="str">
        <f t="shared" si="7"/>
        <v>1</v>
      </c>
      <c r="K33" s="343" t="str">
        <f t="shared" si="8"/>
        <v>2</v>
      </c>
      <c r="L33" s="343" t="str">
        <f t="shared" si="9"/>
        <v>3</v>
      </c>
      <c r="M33" s="343" t="str">
        <f t="shared" si="10"/>
        <v>0</v>
      </c>
      <c r="N33" s="343" t="str">
        <f t="shared" si="11"/>
        <v>5</v>
      </c>
      <c r="O33" s="343" t="str">
        <f t="shared" si="12"/>
        <v>0</v>
      </c>
      <c r="P33" s="343" t="str">
        <f t="shared" si="13"/>
        <v>7</v>
      </c>
      <c r="Q33" s="343" t="str">
        <f t="shared" si="14"/>
        <v>8</v>
      </c>
      <c r="R33" s="343" t="str">
        <f t="shared" si="15"/>
        <v>0</v>
      </c>
      <c r="S33" s="343" t="str">
        <f t="shared" si="16"/>
        <v>0</v>
      </c>
      <c r="T33" s="343" t="str">
        <f t="shared" si="17"/>
        <v>0</v>
      </c>
      <c r="U33" s="343" t="str">
        <f t="shared" si="18"/>
        <v>0</v>
      </c>
      <c r="V33" s="46">
        <f>[2]!e5aEDthkI(ThEDtbl,J33:U33)</f>
        <v>829.37999999999988</v>
      </c>
      <c r="W33" s="46"/>
      <c r="X33" s="177"/>
      <c r="Y33" s="381">
        <v>1.891E-6</v>
      </c>
      <c r="Z33" s="257">
        <v>6.8789999999999996E-8</v>
      </c>
      <c r="AA33" s="257">
        <v>3.1200000000000001E-8</v>
      </c>
      <c r="AB33" s="257">
        <v>1.4990000000000001E-9</v>
      </c>
      <c r="AC33" s="251">
        <v>27.7</v>
      </c>
      <c r="AD33" s="382">
        <v>1008</v>
      </c>
      <c r="AE33" s="46"/>
      <c r="AF33" s="391">
        <f t="shared" si="19"/>
        <v>0.97921862011637584</v>
      </c>
      <c r="AG33" s="391">
        <f t="shared" si="1"/>
        <v>3.5621601733371491E-2</v>
      </c>
      <c r="AH33" s="344">
        <f t="shared" si="20"/>
        <v>158.62000000000012</v>
      </c>
      <c r="AI33" s="418">
        <f>[1]!srRng2E($C$13,AH33)</f>
        <v>15.855998019740719</v>
      </c>
      <c r="AJ33" s="124">
        <f>[1]!srE2Rng($C$14,AI33)/1000</f>
        <v>302.78391163092937</v>
      </c>
      <c r="AK33" s="161">
        <f>[1]!srEnewGas($C$14,AI33,$C$21,$AD33*100,$AC33)</f>
        <v>8.3957344929663833</v>
      </c>
      <c r="AL33" s="161">
        <f>[1]!srE2LETt($C$12,AK33,0)</f>
        <v>33.458215684998954</v>
      </c>
      <c r="AM33" s="161">
        <f>[1]!srEnew($C$15,AK33,$C$33)</f>
        <v>8.1181184945337783</v>
      </c>
      <c r="AN33" s="161">
        <f>[1]!srE2LETt($C$14,AM33,0)</f>
        <v>38.791829086501451</v>
      </c>
      <c r="AO33" s="161">
        <f>[1]!srEnewGas($C$14,AM33,$C$34,AD33*100,AC33)</f>
        <v>8.0098636572340318</v>
      </c>
      <c r="AP33" s="372">
        <f t="shared" si="21"/>
        <v>9.0934063331787058</v>
      </c>
      <c r="AQ33" s="252">
        <f t="shared" ca="1" si="22"/>
        <v>8.5032188123281269</v>
      </c>
      <c r="AR33" s="349">
        <f t="shared" ca="1" si="23"/>
        <v>0.45542751672225879</v>
      </c>
      <c r="AS33" s="252">
        <f t="shared" ca="1" si="24"/>
        <v>-0.59018752085057891</v>
      </c>
      <c r="AT33" s="419">
        <f t="shared" si="2"/>
        <v>3.1862139219015277E-8</v>
      </c>
      <c r="AU33" s="349">
        <f t="shared" ca="1" si="3"/>
        <v>8.6252175419243429</v>
      </c>
      <c r="AV33" s="349">
        <f t="shared" ca="1" si="25"/>
        <v>0.44607943987527088</v>
      </c>
      <c r="AW33" s="161">
        <f t="shared" ca="1" si="4"/>
        <v>-0.46818879125436297</v>
      </c>
      <c r="AX33" s="9"/>
      <c r="AY33" s="9"/>
      <c r="AZ33" s="13">
        <f>[1]!srRng2E($C$13,AZ$11-$V33)</f>
        <v>15.064817508809371</v>
      </c>
      <c r="BA33" s="372">
        <f>[2]!e5adE_ICs(AZ33,$C$14,$C$15,$C$21,$AD33,$AC33,$C$33,$C$34)*$C$7</f>
        <v>9.5221720541929393</v>
      </c>
      <c r="BB33" s="161">
        <f t="shared" ca="1" si="26"/>
        <v>-3.4213822587409215</v>
      </c>
      <c r="BC33" s="9"/>
      <c r="BD33" s="13">
        <f>[1]!srRng2E($C$13,BD$11-$V33)</f>
        <v>15.468916690912627</v>
      </c>
      <c r="BE33" s="372">
        <f>[2]!e5adE_ICs(BD33,$C$14,$C$15,$C$21,$AD33,$AC33,$C$33,$C$34)*$C$7</f>
        <v>9.3028513926760468</v>
      </c>
      <c r="BF33" s="161">
        <f t="shared" ca="1" si="27"/>
        <v>-1.697658648696601</v>
      </c>
      <c r="BG33" s="9"/>
      <c r="BH33" s="13">
        <f>[1]!srRng2E($C$13,BH$11-$V33)</f>
        <v>16.242767412358067</v>
      </c>
      <c r="BI33" s="372">
        <f>[2]!e5adE_ICs(BH33,$C$14,$C$15,$C$21,$AD33,$AC33,$C$33,$C$34)*$C$7</f>
        <v>8.7605704032250742</v>
      </c>
      <c r="BJ33" s="161">
        <f t="shared" ca="1" si="28"/>
        <v>-0.49379725299859878</v>
      </c>
      <c r="BK33" s="9"/>
      <c r="BL33" s="13">
        <f>[1]!srRng2E($C$13,BL$11-$V33)</f>
        <v>16.629536804975412</v>
      </c>
      <c r="BM33" s="372">
        <f>[2]!e5adE_ICs(BL33,$C$14,$C$15,$C$21,$AD33,$AC33,$C$33,$C$34)*$C$7</f>
        <v>8.760570403224925</v>
      </c>
      <c r="BN33" s="161">
        <f t="shared" ca="1" si="29"/>
        <v>-1.9197543034977356</v>
      </c>
      <c r="BO33" s="9"/>
      <c r="BP33" s="124">
        <f t="shared" si="30"/>
        <v>9.5221720541929393</v>
      </c>
      <c r="BQ33" s="124">
        <f t="shared" si="31"/>
        <v>9.3028513926760468</v>
      </c>
      <c r="BR33" s="124">
        <f t="shared" si="32"/>
        <v>9.0934063331787058</v>
      </c>
      <c r="BS33" s="124">
        <f t="shared" si="33"/>
        <v>8.7605704032250742</v>
      </c>
      <c r="BT33" s="123">
        <f t="shared" si="34"/>
        <v>8.760570403224925</v>
      </c>
      <c r="BU33" s="9"/>
      <c r="BV33" s="124">
        <f t="shared" ca="1" si="35"/>
        <v>-3.4213822587409215</v>
      </c>
      <c r="BW33" s="124">
        <f t="shared" ca="1" si="36"/>
        <v>-1.697658648696601</v>
      </c>
      <c r="BX33" s="124">
        <f t="shared" ca="1" si="5"/>
        <v>-0.46818879125436297</v>
      </c>
      <c r="BY33" s="124">
        <f t="shared" ca="1" si="37"/>
        <v>-0.49379725299859878</v>
      </c>
      <c r="BZ33" s="123">
        <f t="shared" ca="1" si="38"/>
        <v>-1.9197543034977356</v>
      </c>
      <c r="CA33" s="142"/>
    </row>
    <row r="34" spans="2:79">
      <c r="B34" s="150" t="s">
        <v>67</v>
      </c>
      <c r="C34" s="390">
        <f>ICs_Th</f>
        <v>2</v>
      </c>
      <c r="D34" s="51"/>
      <c r="E34" s="51"/>
      <c r="F34" s="124">
        <f t="shared" si="6"/>
        <v>843.97</v>
      </c>
      <c r="G34" s="498" t="s">
        <v>206</v>
      </c>
      <c r="H34" s="233">
        <v>20</v>
      </c>
      <c r="I34" s="297"/>
      <c r="J34" s="343" t="str">
        <f t="shared" si="7"/>
        <v>0</v>
      </c>
      <c r="K34" s="343" t="str">
        <f t="shared" si="8"/>
        <v>2</v>
      </c>
      <c r="L34" s="343" t="str">
        <f t="shared" si="9"/>
        <v>0</v>
      </c>
      <c r="M34" s="343" t="str">
        <f t="shared" si="10"/>
        <v>4</v>
      </c>
      <c r="N34" s="343" t="str">
        <f t="shared" si="11"/>
        <v>5</v>
      </c>
      <c r="O34" s="343" t="str">
        <f t="shared" si="12"/>
        <v>0</v>
      </c>
      <c r="P34" s="343" t="str">
        <f t="shared" si="13"/>
        <v>7</v>
      </c>
      <c r="Q34" s="343" t="str">
        <f t="shared" si="14"/>
        <v>8</v>
      </c>
      <c r="R34" s="343" t="str">
        <f t="shared" si="15"/>
        <v>0</v>
      </c>
      <c r="S34" s="343" t="str">
        <f t="shared" si="16"/>
        <v>0</v>
      </c>
      <c r="T34" s="343" t="str">
        <f t="shared" si="17"/>
        <v>0</v>
      </c>
      <c r="U34" s="343" t="str">
        <f t="shared" si="18"/>
        <v>0</v>
      </c>
      <c r="V34" s="46">
        <f>[2]!e5aEDthkI(ThEDtbl,J34:U34)</f>
        <v>843.97</v>
      </c>
      <c r="W34" s="46"/>
      <c r="X34" s="177"/>
      <c r="Y34" s="381">
        <v>1.897E-6</v>
      </c>
      <c r="Z34" s="257">
        <v>6.032E-8</v>
      </c>
      <c r="AA34" s="257">
        <v>3.3710000000000002E-8</v>
      </c>
      <c r="AB34" s="257">
        <v>1.0709999999999999E-9</v>
      </c>
      <c r="AC34" s="251">
        <v>27.7</v>
      </c>
      <c r="AD34" s="382">
        <v>1008</v>
      </c>
      <c r="AE34" s="46"/>
      <c r="AF34" s="391">
        <f t="shared" si="19"/>
        <v>0.98232560674815705</v>
      </c>
      <c r="AG34" s="391">
        <f t="shared" si="1"/>
        <v>3.1235572271507028E-2</v>
      </c>
      <c r="AH34" s="344">
        <f t="shared" si="20"/>
        <v>144.02999999999997</v>
      </c>
      <c r="AI34" s="418">
        <f>[1]!srRng2E($C$13,AH34)</f>
        <v>14.693854459638573</v>
      </c>
      <c r="AJ34" s="124">
        <f>[1]!srE2Rng($C$14,AI34)/1000</f>
        <v>274.41173116089607</v>
      </c>
      <c r="AK34" s="161">
        <f>[1]!srEnewGas($C$14,AI34,$C$21,$AD34*100,$AC34)</f>
        <v>6.7842996986748858</v>
      </c>
      <c r="AL34" s="161">
        <f>[1]!srE2LETt($C$12,AK34,0)</f>
        <v>35.825254295089941</v>
      </c>
      <c r="AM34" s="161">
        <f>[1]!srEnew($C$15,AK34,$C$33)</f>
        <v>6.4880799471843318</v>
      </c>
      <c r="AN34" s="161">
        <f>[1]!srE2LETt($C$14,AM34,0)</f>
        <v>41.28812941778429</v>
      </c>
      <c r="AO34" s="161">
        <f>[1]!srEnewGas($C$14,AM34,$C$34,AD34*100,AC34)</f>
        <v>6.3723330499310435</v>
      </c>
      <c r="AP34" s="372">
        <f t="shared" si="21"/>
        <v>9.7227393692762121</v>
      </c>
      <c r="AQ34" s="252">
        <f t="shared" ca="1" si="22"/>
        <v>9.2658092506022207</v>
      </c>
      <c r="AR34" s="349">
        <f t="shared" ca="1" si="23"/>
        <v>0.325392175056397</v>
      </c>
      <c r="AS34" s="252">
        <f t="shared" ca="1" si="24"/>
        <v>-0.45693011867399136</v>
      </c>
      <c r="AT34" s="419">
        <f t="shared" si="2"/>
        <v>3.4316523735538105E-8</v>
      </c>
      <c r="AU34" s="349">
        <f t="shared" ca="1" si="3"/>
        <v>9.3556047803293065</v>
      </c>
      <c r="AV34" s="349">
        <f t="shared" ca="1" si="25"/>
        <v>0.31871319553463312</v>
      </c>
      <c r="AW34" s="161">
        <f t="shared" ca="1" si="4"/>
        <v>-0.36713458894690554</v>
      </c>
      <c r="AX34" s="9"/>
      <c r="AY34" s="9"/>
      <c r="AZ34" s="13">
        <f>[1]!srRng2E($C$13,AZ$11-$V34)</f>
        <v>13.867187499999998</v>
      </c>
      <c r="BA34" s="372">
        <f>[2]!e5adE_ICs(AZ34,$C$14,$C$15,$C$21,$AD34,$AC34,$C$33,$C$34)*$C$7</f>
        <v>10.118550262180015</v>
      </c>
      <c r="BB34" s="161">
        <f t="shared" ca="1" si="26"/>
        <v>-3.3956485214989041</v>
      </c>
      <c r="BC34" s="9"/>
      <c r="BD34" s="13">
        <f>[1]!srRng2E($C$13,BD$11-$V34)</f>
        <v>14.289755277535317</v>
      </c>
      <c r="BE34" s="372">
        <f>[2]!e5adE_ICs(BD34,$C$14,$C$15,$C$21,$AD34,$AC34,$C$33,$C$34)*$C$7</f>
        <v>9.9217719049830535</v>
      </c>
      <c r="BF34" s="161">
        <f t="shared" ca="1" si="27"/>
        <v>-1.6088199768727538</v>
      </c>
      <c r="BG34" s="9"/>
      <c r="BH34" s="13">
        <f>[1]!srRng2E($C$13,BH$11-$V34)</f>
        <v>15.097953641741826</v>
      </c>
      <c r="BI34" s="372">
        <f>[2]!e5adE_ICs(BH34,$C$14,$C$15,$C$21,$AD34,$AC34,$C$33,$C$34)*$C$7</f>
        <v>9.5221720541930139</v>
      </c>
      <c r="BJ34" s="161">
        <f t="shared" ca="1" si="28"/>
        <v>-0.57374247588330896</v>
      </c>
      <c r="BK34" s="9"/>
      <c r="BL34" s="13">
        <f>[1]!srRng2E($C$13,BL$11-$V34)</f>
        <v>15.500943717317984</v>
      </c>
      <c r="BM34" s="372">
        <f>[2]!e5adE_ICs(BL34,$C$14,$C$15,$C$21,$AD34,$AC34,$C$33,$C$34)*$C$7</f>
        <v>9.3028513926760468</v>
      </c>
      <c r="BN34" s="161">
        <f t="shared" ca="1" si="29"/>
        <v>-1.8713536123307737</v>
      </c>
      <c r="BO34" s="9"/>
      <c r="BP34" s="124">
        <f t="shared" si="30"/>
        <v>10.118550262180015</v>
      </c>
      <c r="BQ34" s="124">
        <f t="shared" si="31"/>
        <v>9.9217719049830535</v>
      </c>
      <c r="BR34" s="124">
        <f t="shared" si="32"/>
        <v>9.7227393692762121</v>
      </c>
      <c r="BS34" s="124">
        <f t="shared" si="33"/>
        <v>9.5221720541930139</v>
      </c>
      <c r="BT34" s="123">
        <f t="shared" si="34"/>
        <v>9.3028513926760468</v>
      </c>
      <c r="BU34" s="9"/>
      <c r="BV34" s="124">
        <f t="shared" ca="1" si="35"/>
        <v>-3.3956485214989041</v>
      </c>
      <c r="BW34" s="124">
        <f t="shared" ca="1" si="36"/>
        <v>-1.6088199768727538</v>
      </c>
      <c r="BX34" s="124">
        <f t="shared" ca="1" si="5"/>
        <v>-0.36713458894690554</v>
      </c>
      <c r="BY34" s="124">
        <f t="shared" ca="1" si="37"/>
        <v>-0.57374247588330896</v>
      </c>
      <c r="BZ34" s="123">
        <f t="shared" ca="1" si="38"/>
        <v>-1.8713536123307737</v>
      </c>
      <c r="CA34" s="142"/>
    </row>
    <row r="35" spans="2:79">
      <c r="C35" s="192" t="s">
        <v>185</v>
      </c>
      <c r="D35" s="51"/>
      <c r="E35" s="51"/>
      <c r="F35" s="124">
        <f t="shared" si="6"/>
        <v>854.97</v>
      </c>
      <c r="G35" s="498" t="s">
        <v>219</v>
      </c>
      <c r="H35" s="233">
        <v>21</v>
      </c>
      <c r="I35" s="297"/>
      <c r="J35" s="343" t="str">
        <f t="shared" si="7"/>
        <v>0</v>
      </c>
      <c r="K35" s="343" t="str">
        <f t="shared" si="8"/>
        <v>0</v>
      </c>
      <c r="L35" s="343" t="str">
        <f t="shared" si="9"/>
        <v>3</v>
      </c>
      <c r="M35" s="343" t="str">
        <f t="shared" si="10"/>
        <v>4</v>
      </c>
      <c r="N35" s="343" t="str">
        <f t="shared" si="11"/>
        <v>5</v>
      </c>
      <c r="O35" s="343" t="str">
        <f t="shared" si="12"/>
        <v>0</v>
      </c>
      <c r="P35" s="343" t="str">
        <f t="shared" si="13"/>
        <v>7</v>
      </c>
      <c r="Q35" s="343" t="str">
        <f t="shared" si="14"/>
        <v>8</v>
      </c>
      <c r="R35" s="343" t="str">
        <f t="shared" si="15"/>
        <v>0</v>
      </c>
      <c r="S35" s="343" t="str">
        <f t="shared" si="16"/>
        <v>0</v>
      </c>
      <c r="T35" s="343" t="str">
        <f t="shared" si="17"/>
        <v>0</v>
      </c>
      <c r="U35" s="343" t="str">
        <f t="shared" si="18"/>
        <v>0</v>
      </c>
      <c r="V35" s="46">
        <f>[2]!e5aEDthkI(ThEDtbl,J35:U35)</f>
        <v>854.97</v>
      </c>
      <c r="W35" s="46"/>
      <c r="X35" s="177"/>
      <c r="Y35" s="381">
        <v>1.911E-6</v>
      </c>
      <c r="Z35" s="257">
        <v>7.7190000000000005E-8</v>
      </c>
      <c r="AA35" s="257">
        <v>3.2880000000000001E-8</v>
      </c>
      <c r="AB35" s="257">
        <v>9.5160000000000006E-9</v>
      </c>
      <c r="AC35" s="251">
        <v>27.67</v>
      </c>
      <c r="AD35" s="382">
        <v>1008</v>
      </c>
      <c r="AE35" s="46"/>
      <c r="AF35" s="391">
        <f t="shared" si="19"/>
        <v>0.98957524222231319</v>
      </c>
      <c r="AG35" s="391">
        <f t="shared" si="1"/>
        <v>3.9971383017865181E-2</v>
      </c>
      <c r="AH35" s="344">
        <f t="shared" si="20"/>
        <v>133.02999999999997</v>
      </c>
      <c r="AI35" s="418">
        <f>[1]!srRng2E($C$13,AH35)</f>
        <v>13.782636634199132</v>
      </c>
      <c r="AJ35" s="124">
        <f>[1]!srE2Rng($C$14,AI35)/1000</f>
        <v>253.1199076704545</v>
      </c>
      <c r="AK35" s="161">
        <f>[1]!srEnewGas($C$14,AI35,$C$21,$AD35*100,$AC35)</f>
        <v>5.5082390750726278</v>
      </c>
      <c r="AL35" s="161">
        <f>[1]!srE2LETt($C$12,AK35,0)</f>
        <v>37.731547365476729</v>
      </c>
      <c r="AM35" s="161">
        <f>[1]!srEnew($C$15,AK35,$C$33)</f>
        <v>5.1941877934243337</v>
      </c>
      <c r="AN35" s="161">
        <f>[1]!srE2LETt($C$14,AM35,0)</f>
        <v>43.136825713085599</v>
      </c>
      <c r="AO35" s="161">
        <f>[1]!srEnewGas($C$14,AM35,$C$34,AD35*100,AC35)</f>
        <v>5.0737168486742368</v>
      </c>
      <c r="AP35" s="372">
        <f t="shared" si="21"/>
        <v>10.119559359008139</v>
      </c>
      <c r="AQ35" s="252">
        <f t="shared" ca="1" si="22"/>
        <v>9.0136379104558078</v>
      </c>
      <c r="AR35" s="349">
        <f t="shared" ca="1" si="23"/>
        <v>2.8911596058232254</v>
      </c>
      <c r="AS35" s="252">
        <f t="shared" ca="1" si="24"/>
        <v>-1.1059214485523317</v>
      </c>
      <c r="AT35" s="419">
        <f t="shared" si="2"/>
        <v>3.3226376931339331E-8</v>
      </c>
      <c r="AU35" s="349">
        <f t="shared" ca="1" si="3"/>
        <v>9.0311937891359744</v>
      </c>
      <c r="AV35" s="349">
        <f t="shared" ca="1" si="25"/>
        <v>2.8318158437979171</v>
      </c>
      <c r="AW35" s="161">
        <f t="shared" ca="1" si="4"/>
        <v>-1.088365569872165</v>
      </c>
      <c r="AX35" s="9"/>
      <c r="AY35" s="9"/>
      <c r="AZ35" s="13">
        <f>[1]!srRng2E($C$13,AZ$11-$V35)</f>
        <v>12.929598922902491</v>
      </c>
      <c r="BA35" s="372">
        <f>[2]!e5adE_ICs(AZ35,$C$14,$C$15,$C$21,$AD35,$AC35,$C$33,$C$34)*$C$7</f>
        <v>10.456720086549391</v>
      </c>
      <c r="BB35" s="161">
        <f t="shared" ca="1" si="26"/>
        <v>-4.0101374573929025</v>
      </c>
      <c r="BC35" s="9"/>
      <c r="BD35" s="13">
        <f>[1]!srRng2E($C$13,BD$11-$V35)</f>
        <v>13.359882305194803</v>
      </c>
      <c r="BE35" s="372">
        <f>[2]!e5adE_ICs(BD35,$C$14,$C$15,$C$21,$AD35,$AC35,$C$33,$C$34)*$C$7</f>
        <v>10.247925862505031</v>
      </c>
      <c r="BF35" s="161">
        <f t="shared" ca="1" si="27"/>
        <v>-2.2493343809867223</v>
      </c>
      <c r="BG35" s="9"/>
      <c r="BH35" s="13">
        <f>[1]!srRng2E($C$13,BH$11-$V35)</f>
        <v>14.205390963203463</v>
      </c>
      <c r="BI35" s="372">
        <f>[2]!e5adE_ICs(BH35,$C$14,$C$15,$C$21,$AD35,$AC35,$C$33,$C$34)*$C$7</f>
        <v>9.9227613776149575</v>
      </c>
      <c r="BJ35" s="161">
        <f t="shared" ca="1" si="28"/>
        <v>-1.2770983673119876</v>
      </c>
      <c r="BK35" s="9"/>
      <c r="BL35" s="13">
        <f>[1]!srRng2E($C$13,BL$11-$V35)</f>
        <v>14.613034623217921</v>
      </c>
      <c r="BM35" s="372">
        <f>[2]!e5adE_ICs(BL35,$C$14,$C$15,$C$21,$AD35,$AC35,$C$33,$C$34)*$C$7</f>
        <v>9.7237089929085094</v>
      </c>
      <c r="BN35" s="161">
        <f t="shared" ca="1" si="29"/>
        <v>-2.5545701632857707</v>
      </c>
      <c r="BO35" s="9"/>
      <c r="BP35" s="124">
        <f t="shared" si="30"/>
        <v>10.456720086549391</v>
      </c>
      <c r="BQ35" s="124">
        <f t="shared" si="31"/>
        <v>10.247925862505031</v>
      </c>
      <c r="BR35" s="124">
        <f t="shared" si="32"/>
        <v>10.119559359008139</v>
      </c>
      <c r="BS35" s="124">
        <f t="shared" si="33"/>
        <v>9.9227613776149575</v>
      </c>
      <c r="BT35" s="123">
        <f t="shared" si="34"/>
        <v>9.7237089929085094</v>
      </c>
      <c r="BU35" s="9"/>
      <c r="BV35" s="124">
        <f t="shared" ca="1" si="35"/>
        <v>-4.0101374573929025</v>
      </c>
      <c r="BW35" s="124">
        <f t="shared" ca="1" si="36"/>
        <v>-2.2493343809867223</v>
      </c>
      <c r="BX35" s="124">
        <f t="shared" ca="1" si="5"/>
        <v>-1.088365569872165</v>
      </c>
      <c r="BY35" s="124">
        <f t="shared" ca="1" si="37"/>
        <v>-1.2770983673119876</v>
      </c>
      <c r="BZ35" s="123">
        <f t="shared" ca="1" si="38"/>
        <v>-2.5545701632857707</v>
      </c>
      <c r="CA35" s="142"/>
    </row>
    <row r="36" spans="2:79">
      <c r="D36" s="51"/>
      <c r="E36" s="51"/>
      <c r="F36" s="124">
        <f t="shared" si="6"/>
        <v>865.17</v>
      </c>
      <c r="G36" s="498" t="s">
        <v>263</v>
      </c>
      <c r="H36" s="233">
        <v>22</v>
      </c>
      <c r="I36" s="297"/>
      <c r="J36" s="343" t="str">
        <f t="shared" si="7"/>
        <v>1</v>
      </c>
      <c r="K36" s="343" t="str">
        <f t="shared" si="8"/>
        <v>0</v>
      </c>
      <c r="L36" s="343" t="str">
        <f t="shared" si="9"/>
        <v>3</v>
      </c>
      <c r="M36" s="343" t="str">
        <f t="shared" si="10"/>
        <v>4</v>
      </c>
      <c r="N36" s="343" t="str">
        <f t="shared" si="11"/>
        <v>5</v>
      </c>
      <c r="O36" s="343" t="str">
        <f t="shared" si="12"/>
        <v>0</v>
      </c>
      <c r="P36" s="343" t="str">
        <f t="shared" si="13"/>
        <v>7</v>
      </c>
      <c r="Q36" s="343" t="str">
        <f t="shared" si="14"/>
        <v>8</v>
      </c>
      <c r="R36" s="343" t="str">
        <f t="shared" si="15"/>
        <v>0</v>
      </c>
      <c r="S36" s="343" t="str">
        <f t="shared" si="16"/>
        <v>0</v>
      </c>
      <c r="T36" s="343" t="str">
        <f t="shared" si="17"/>
        <v>0</v>
      </c>
      <c r="U36" s="343" t="str">
        <f t="shared" si="18"/>
        <v>0</v>
      </c>
      <c r="V36" s="46">
        <f>[2]!e5aEDthkI(ThEDtbl,J36:U36)</f>
        <v>865.17</v>
      </c>
      <c r="W36" s="46"/>
      <c r="X36" s="177"/>
      <c r="Y36" s="381">
        <v>1.9640000000000002E-6</v>
      </c>
      <c r="Z36" s="257">
        <v>3.501E-8</v>
      </c>
      <c r="AA36" s="448">
        <v>3.8080000000000001E-8</v>
      </c>
      <c r="AB36" s="257">
        <v>1.165E-9</v>
      </c>
      <c r="AC36" s="251">
        <v>27.7</v>
      </c>
      <c r="AD36" s="382">
        <v>1008</v>
      </c>
      <c r="AE36" s="46"/>
      <c r="AF36" s="391">
        <f t="shared" si="19"/>
        <v>1.0170202908030472</v>
      </c>
      <c r="AG36" s="391">
        <f t="shared" si="1"/>
        <v>1.8129266996443318E-2</v>
      </c>
      <c r="AH36" s="344">
        <f t="shared" si="20"/>
        <v>122.83000000000004</v>
      </c>
      <c r="AI36" s="418">
        <f>[1]!srRng2E($C$13,AH36)</f>
        <v>12.911883503401363</v>
      </c>
      <c r="AJ36" s="124">
        <f>[1]!srE2Rng($C$14,AI36)/1000</f>
        <v>233.44325892857148</v>
      </c>
      <c r="AK36" s="161">
        <f>[1]!srEnewGas($C$14,AI36,$C$21,$AD36*100,$AC36)</f>
        <v>4.2817291752068565</v>
      </c>
      <c r="AL36" s="161">
        <f>[1]!srE2LETt($C$12,AK36,0)</f>
        <v>39.436478467422425</v>
      </c>
      <c r="AM36" s="161">
        <f>[1]!srEnew($C$15,AK36,$C$33)</f>
        <v>3.9514022420217358</v>
      </c>
      <c r="AN36" s="161">
        <f>[1]!srE2LETt($C$14,AM36,0)</f>
        <v>44.755481063888332</v>
      </c>
      <c r="AO36" s="161">
        <f>[1]!srEnewGas($C$14,AM36,$C$34,AD36*100,AC36)</f>
        <v>3.8267758550112321</v>
      </c>
      <c r="AP36" s="372">
        <f t="shared" si="21"/>
        <v>10.468616508882317</v>
      </c>
      <c r="AQ36" s="252">
        <f t="shared" ca="1" si="22"/>
        <v>10.593506547517681</v>
      </c>
      <c r="AR36" s="349">
        <f t="shared" ca="1" si="23"/>
        <v>0.3539513388802078</v>
      </c>
      <c r="AS36" s="252">
        <f t="shared" ca="1" si="24"/>
        <v>0.12489003863536396</v>
      </c>
      <c r="AT36" s="419">
        <f t="shared" si="2"/>
        <v>3.7442714117268722E-8</v>
      </c>
      <c r="AU36" s="349">
        <f t="shared" ca="1" si="3"/>
        <v>10.285911154195785</v>
      </c>
      <c r="AV36" s="349">
        <f t="shared" ca="1" si="25"/>
        <v>0.34668615574028722</v>
      </c>
      <c r="AW36" s="161">
        <f t="shared" ca="1" si="4"/>
        <v>-0.18270535468653115</v>
      </c>
      <c r="AX36" s="9"/>
      <c r="AY36" s="9"/>
      <c r="AZ36" s="13">
        <f>[1]!srRng2E($C$13,AZ$11-$V36)</f>
        <v>12.026112528344676</v>
      </c>
      <c r="BA36" s="372">
        <f>[2]!e5adE_ICs(AZ36,$C$14,$C$15,$C$21,$AD36,$AC36,$C$33,$C$34)*$C$7</f>
        <v>10.880778970856955</v>
      </c>
      <c r="BB36" s="161">
        <f t="shared" ca="1" si="26"/>
        <v>-3.3654828981376816</v>
      </c>
      <c r="BC36" s="9"/>
      <c r="BD36" s="13">
        <f>[1]!srRng2E($C$13,BD$11-$V36)</f>
        <v>12.468998015873019</v>
      </c>
      <c r="BE36" s="372">
        <f>[2]!e5adE_ICs(BD36,$C$14,$C$15,$C$21,$AD36,$AC36,$C$33,$C$34)*$C$7</f>
        <v>10.660436463726061</v>
      </c>
      <c r="BF36" s="161">
        <f t="shared" ca="1" si="27"/>
        <v>-1.445999890843801</v>
      </c>
      <c r="BG36" s="9"/>
      <c r="BH36" s="13">
        <f>[1]!srRng2E($C$13,BH$11-$V36)</f>
        <v>13.342972132034635</v>
      </c>
      <c r="BI36" s="372">
        <f>[2]!e5adE_ICs(BH36,$C$14,$C$15,$C$21,$AD36,$AC36,$C$33,$C$34)*$C$7</f>
        <v>10.264171714455188</v>
      </c>
      <c r="BJ36" s="161">
        <f t="shared" ca="1" si="28"/>
        <v>-0.44750500591062625</v>
      </c>
      <c r="BK36" s="9"/>
      <c r="BL36" s="13">
        <f>[1]!srRng2E($C$13,BL$11-$V36)</f>
        <v>13.765726461038964</v>
      </c>
      <c r="BM36" s="372">
        <f>[2]!e5adE_ICs(BL36,$C$14,$C$15,$C$21,$AD36,$AC36,$C$33,$C$34)*$C$7</f>
        <v>10.118550262179941</v>
      </c>
      <c r="BN36" s="161">
        <f t="shared" ca="1" si="29"/>
        <v>-1.9346914006016345</v>
      </c>
      <c r="BO36" s="9"/>
      <c r="BP36" s="124">
        <f t="shared" si="30"/>
        <v>10.880778970856955</v>
      </c>
      <c r="BQ36" s="124">
        <f t="shared" si="31"/>
        <v>10.660436463726061</v>
      </c>
      <c r="BR36" s="124">
        <f t="shared" si="32"/>
        <v>10.468616508882317</v>
      </c>
      <c r="BS36" s="124">
        <f t="shared" si="33"/>
        <v>10.264171714455188</v>
      </c>
      <c r="BT36" s="123">
        <f t="shared" si="34"/>
        <v>10.118550262179941</v>
      </c>
      <c r="BU36" s="9"/>
      <c r="BV36" s="124">
        <f t="shared" ca="1" si="35"/>
        <v>-3.3654828981376816</v>
      </c>
      <c r="BW36" s="124">
        <f t="shared" ca="1" si="36"/>
        <v>-1.445999890843801</v>
      </c>
      <c r="BX36" s="124">
        <f t="shared" ca="1" si="5"/>
        <v>-0.18270535468653115</v>
      </c>
      <c r="BY36" s="124">
        <f t="shared" ca="1" si="37"/>
        <v>-0.44750500591062625</v>
      </c>
      <c r="BZ36" s="123">
        <f t="shared" ca="1" si="38"/>
        <v>-1.9346914006016345</v>
      </c>
      <c r="CA36" s="142"/>
    </row>
    <row r="37" spans="2:79">
      <c r="D37" s="51"/>
      <c r="E37" s="51"/>
      <c r="F37" s="124">
        <f t="shared" si="6"/>
        <v>868.32999999999993</v>
      </c>
      <c r="G37" s="499" t="s">
        <v>220</v>
      </c>
      <c r="H37" s="233">
        <v>23</v>
      </c>
      <c r="I37" s="297"/>
      <c r="J37" s="343" t="str">
        <f t="shared" si="7"/>
        <v>0</v>
      </c>
      <c r="K37" s="343" t="str">
        <f t="shared" si="8"/>
        <v>2</v>
      </c>
      <c r="L37" s="343" t="str">
        <f t="shared" si="9"/>
        <v>3</v>
      </c>
      <c r="M37" s="343" t="str">
        <f t="shared" si="10"/>
        <v>4</v>
      </c>
      <c r="N37" s="343" t="str">
        <f t="shared" si="11"/>
        <v>0</v>
      </c>
      <c r="O37" s="343" t="str">
        <f t="shared" si="12"/>
        <v>6</v>
      </c>
      <c r="P37" s="343" t="str">
        <f t="shared" si="13"/>
        <v>7</v>
      </c>
      <c r="Q37" s="343" t="str">
        <f t="shared" si="14"/>
        <v>8</v>
      </c>
      <c r="R37" s="343" t="str">
        <f t="shared" si="15"/>
        <v>0</v>
      </c>
      <c r="S37" s="343" t="str">
        <f t="shared" si="16"/>
        <v>0</v>
      </c>
      <c r="T37" s="343" t="str">
        <f t="shared" si="17"/>
        <v>0</v>
      </c>
      <c r="U37" s="343" t="str">
        <f t="shared" si="18"/>
        <v>0</v>
      </c>
      <c r="V37" s="46">
        <f>[2]!e5aEDthkI(ThEDtbl,J37:U37)</f>
        <v>868.32999999999993</v>
      </c>
      <c r="W37" s="46"/>
      <c r="X37" s="177"/>
      <c r="Y37" s="381">
        <v>1.889E-6</v>
      </c>
      <c r="Z37" s="257">
        <v>4.6490000000000001E-8</v>
      </c>
      <c r="AA37" s="448">
        <v>3.812E-8</v>
      </c>
      <c r="AB37" s="257">
        <v>1.312E-9</v>
      </c>
      <c r="AC37" s="251">
        <v>27.65</v>
      </c>
      <c r="AD37" s="382">
        <v>1008</v>
      </c>
      <c r="AE37" s="46"/>
      <c r="AF37" s="391">
        <f t="shared" si="19"/>
        <v>0.97818295790578214</v>
      </c>
      <c r="AG37" s="391">
        <f t="shared" si="1"/>
        <v>2.4073968085251356E-2</v>
      </c>
      <c r="AH37" s="344">
        <f t="shared" si="20"/>
        <v>119.67000000000007</v>
      </c>
      <c r="AI37" s="418">
        <f>[1]!srRng2E($C$13,AH37)</f>
        <v>12.631979875283452</v>
      </c>
      <c r="AJ37" s="124">
        <f>[1]!srE2Rng($C$14,AI37)/1000</f>
        <v>227.37248511904775</v>
      </c>
      <c r="AK37" s="161">
        <f>[1]!srEnewGas($C$14,AI37,$C$21,$AD37*100,$AC37)</f>
        <v>3.8916239930491034</v>
      </c>
      <c r="AL37" s="161">
        <f>[1]!srE2LETt($C$12,AK37,0)</f>
        <v>39.910528682853652</v>
      </c>
      <c r="AM37" s="161">
        <f>[1]!srEnew($C$15,AK37,$C$33)</f>
        <v>3.5554698345030191</v>
      </c>
      <c r="AN37" s="161">
        <f>[1]!srE2LETt($C$14,AM37,0)</f>
        <v>45.251711390890797</v>
      </c>
      <c r="AO37" s="161">
        <f>[1]!srEnewGas($C$14,AM37,$C$34,AD37*100,AC37)</f>
        <v>3.4291910175606857</v>
      </c>
      <c r="AP37" s="372">
        <f t="shared" si="21"/>
        <v>10.60742062315601</v>
      </c>
      <c r="AQ37" s="252">
        <f t="shared" ca="1" si="22"/>
        <v>10.605659383187385</v>
      </c>
      <c r="AR37" s="349">
        <f t="shared" ca="1" si="23"/>
        <v>0.39861300996637994</v>
      </c>
      <c r="AS37" s="252">
        <f t="shared" ca="1" si="24"/>
        <v>-1.7612399686246505E-3</v>
      </c>
      <c r="AT37" s="419">
        <f t="shared" si="2"/>
        <v>3.8970214817085058E-8</v>
      </c>
      <c r="AU37" s="349">
        <f t="shared" ca="1" si="3"/>
        <v>10.740471965792286</v>
      </c>
      <c r="AV37" s="349">
        <f t="shared" ca="1" si="25"/>
        <v>0.39043110414700155</v>
      </c>
      <c r="AW37" s="161">
        <f t="shared" ca="1" si="4"/>
        <v>0.13305134263627671</v>
      </c>
      <c r="AX37" s="9"/>
      <c r="AY37" s="9"/>
      <c r="AZ37" s="13">
        <f>[1]!srRng2E($C$13,AZ$11-$V37)</f>
        <v>11.738411211479134</v>
      </c>
      <c r="BA37" s="372">
        <f>[2]!e5adE_ICs(AZ37,$C$14,$C$15,$C$21,$AD37,$AC37,$C$33,$C$34)*$C$7</f>
        <v>10.986042435767239</v>
      </c>
      <c r="BB37" s="161">
        <f t="shared" ca="1" si="26"/>
        <v>-3.0835713196493808</v>
      </c>
      <c r="BC37" s="9"/>
      <c r="BD37" s="13">
        <f>[1]!srRng2E($C$13,BD$11-$V37)</f>
        <v>12.189094387755109</v>
      </c>
      <c r="BE37" s="372">
        <f>[2]!e5adE_ICs(BD37,$C$14,$C$15,$C$21,$AD37,$AC37,$C$33,$C$34)*$C$7</f>
        <v>10.772424943960619</v>
      </c>
      <c r="BF37" s="161">
        <f t="shared" ca="1" si="27"/>
        <v>-1.1175102627039895</v>
      </c>
      <c r="BG37" s="9"/>
      <c r="BH37" s="13">
        <f>[1]!srRng2E($C$13,BH$11-$V37)</f>
        <v>13.074865362811797</v>
      </c>
      <c r="BI37" s="372">
        <f>[2]!e5adE_ICs(BH37,$C$14,$C$15,$C$21,$AD37,$AC37,$C$33,$C$34)*$C$7</f>
        <v>10.439909141312377</v>
      </c>
      <c r="BJ37" s="161">
        <f t="shared" ca="1" si="28"/>
        <v>-0.19900952878642286</v>
      </c>
      <c r="BK37" s="9"/>
      <c r="BL37" s="13">
        <f>[1]!srRng2E($C$13,BL$11-$V37)</f>
        <v>13.498545725108231</v>
      </c>
      <c r="BM37" s="372">
        <f>[2]!e5adE_ICs(BL37,$C$14,$C$15,$C$21,$AD37,$AC37,$C$33,$C$34)*$C$7</f>
        <v>10.219164317343921</v>
      </c>
      <c r="BN37" s="161">
        <f t="shared" ca="1" si="29"/>
        <v>-1.6676912231794887</v>
      </c>
      <c r="BO37" s="9"/>
      <c r="BP37" s="124">
        <f t="shared" si="30"/>
        <v>10.986042435767239</v>
      </c>
      <c r="BQ37" s="124">
        <f t="shared" si="31"/>
        <v>10.772424943960619</v>
      </c>
      <c r="BR37" s="124">
        <f t="shared" si="32"/>
        <v>10.60742062315601</v>
      </c>
      <c r="BS37" s="124">
        <f t="shared" si="33"/>
        <v>10.439909141312377</v>
      </c>
      <c r="BT37" s="123">
        <f t="shared" si="34"/>
        <v>10.219164317343921</v>
      </c>
      <c r="BU37" s="9"/>
      <c r="BV37" s="124">
        <f t="shared" ca="1" si="35"/>
        <v>-3.0835713196493808</v>
      </c>
      <c r="BW37" s="124">
        <f t="shared" ca="1" si="36"/>
        <v>-1.1175102627039895</v>
      </c>
      <c r="BX37" s="124">
        <f t="shared" ca="1" si="5"/>
        <v>0.13305134263627671</v>
      </c>
      <c r="BY37" s="124">
        <f t="shared" ca="1" si="37"/>
        <v>-0.19900952878642286</v>
      </c>
      <c r="BZ37" s="123">
        <f t="shared" ca="1" si="38"/>
        <v>-1.6676912231794887</v>
      </c>
      <c r="CA37" s="142"/>
    </row>
    <row r="38" spans="2:79">
      <c r="D38" s="51"/>
      <c r="E38" s="51"/>
      <c r="F38" s="124">
        <f t="shared" si="6"/>
        <v>873.25</v>
      </c>
      <c r="G38" s="499" t="s">
        <v>264</v>
      </c>
      <c r="H38" s="233">
        <v>24</v>
      </c>
      <c r="I38" s="297"/>
      <c r="J38" s="343" t="str">
        <f t="shared" si="7"/>
        <v>0</v>
      </c>
      <c r="K38" s="343" t="str">
        <f t="shared" si="8"/>
        <v>2</v>
      </c>
      <c r="L38" s="343" t="str">
        <f t="shared" si="9"/>
        <v>3</v>
      </c>
      <c r="M38" s="343" t="str">
        <f t="shared" si="10"/>
        <v>4</v>
      </c>
      <c r="N38" s="343" t="str">
        <f t="shared" si="11"/>
        <v>5</v>
      </c>
      <c r="O38" s="343" t="str">
        <f t="shared" si="12"/>
        <v>0</v>
      </c>
      <c r="P38" s="343" t="str">
        <f t="shared" si="13"/>
        <v>7</v>
      </c>
      <c r="Q38" s="343" t="str">
        <f t="shared" si="14"/>
        <v>8</v>
      </c>
      <c r="R38" s="343" t="str">
        <f t="shared" si="15"/>
        <v>0</v>
      </c>
      <c r="S38" s="343" t="str">
        <f t="shared" si="16"/>
        <v>A</v>
      </c>
      <c r="T38" s="343" t="str">
        <f t="shared" si="17"/>
        <v>0</v>
      </c>
      <c r="U38" s="343" t="str">
        <f t="shared" si="18"/>
        <v>0</v>
      </c>
      <c r="V38" s="46">
        <f>[2]!e5aEDthkI(ThEDtbl,J38:U38)</f>
        <v>873.25</v>
      </c>
      <c r="W38" s="46"/>
      <c r="X38" s="177"/>
      <c r="Y38" s="381">
        <v>1.906E-6</v>
      </c>
      <c r="Z38" s="257">
        <v>6.3310000000000002E-8</v>
      </c>
      <c r="AA38" s="448">
        <v>3.8910000000000002E-8</v>
      </c>
      <c r="AB38" s="257">
        <v>1.5529999999999999E-9</v>
      </c>
      <c r="AC38" s="251">
        <v>27.7</v>
      </c>
      <c r="AD38" s="382">
        <v>1008</v>
      </c>
      <c r="AE38" s="46"/>
      <c r="AF38" s="391">
        <f t="shared" si="19"/>
        <v>0.98698608669582888</v>
      </c>
      <c r="AG38" s="391">
        <f t="shared" si="1"/>
        <v>3.278388727634466E-2</v>
      </c>
      <c r="AH38" s="344">
        <f t="shared" si="20"/>
        <v>114.75</v>
      </c>
      <c r="AI38" s="418">
        <f>[1]!srRng2E($C$13,AH38)</f>
        <v>12.196180555555555</v>
      </c>
      <c r="AJ38" s="124">
        <f>[1]!srE2Rng($C$14,AI38)/1000</f>
        <v>217.92052083333331</v>
      </c>
      <c r="AK38" s="161">
        <f>[1]!srEnewGas($C$14,AI38,$C$21,$AD38*100,$AC38)</f>
        <v>3.2807515915816534</v>
      </c>
      <c r="AL38" s="161">
        <f>[1]!srE2LETt($C$12,AK38,0)</f>
        <v>40.508443740977754</v>
      </c>
      <c r="AM38" s="161">
        <f>[1]!srEnew($C$15,AK38,$C$33)</f>
        <v>2.9353126934960416</v>
      </c>
      <c r="AN38" s="161">
        <f>[1]!srE2LETt($C$14,AM38,0)</f>
        <v>46.024035258692905</v>
      </c>
      <c r="AO38" s="161">
        <f>[1]!srEnewGas($C$14,AM38,$C$34,AD38*100,AC38)</f>
        <v>2.807090852872121</v>
      </c>
      <c r="AP38" s="372">
        <f t="shared" si="21"/>
        <v>10.770634612409332</v>
      </c>
      <c r="AQ38" s="252">
        <f t="shared" ca="1" si="22"/>
        <v>10.845677887664095</v>
      </c>
      <c r="AR38" s="349">
        <f t="shared" ca="1" si="23"/>
        <v>0.47183384487636276</v>
      </c>
      <c r="AS38" s="252">
        <f t="shared" ca="1" si="24"/>
        <v>7.5043275254763842E-2</v>
      </c>
      <c r="AT38" s="419">
        <f t="shared" si="2"/>
        <v>3.9423048130557242E-8</v>
      </c>
      <c r="AU38" s="349">
        <f t="shared" ca="1" si="3"/>
        <v>10.87522822385135</v>
      </c>
      <c r="AV38" s="349">
        <f t="shared" ca="1" si="25"/>
        <v>0.46214901275936993</v>
      </c>
      <c r="AW38" s="161">
        <f t="shared" ca="1" si="4"/>
        <v>0.10459361144201829</v>
      </c>
      <c r="AX38" s="9"/>
      <c r="AY38" s="9"/>
      <c r="AZ38" s="13">
        <f>[1]!srRng2E($C$13,AZ$11-$V38)</f>
        <v>11.281179138321995</v>
      </c>
      <c r="BA38" s="372">
        <f>[2]!e5adE_ICs(AZ38,$C$14,$C$15,$C$21,$AD38,$AC38,$C$33,$C$34)*$C$7</f>
        <v>11.271594361823706</v>
      </c>
      <c r="BB38" s="161">
        <f t="shared" ca="1" si="26"/>
        <v>-3.2543437514529145</v>
      </c>
      <c r="BC38" s="9"/>
      <c r="BD38" s="13">
        <f>[1]!srRng2E($C$13,BD$11-$V38)</f>
        <v>11.745845879335342</v>
      </c>
      <c r="BE38" s="372">
        <f>[2]!e5adE_ICs(BD38,$C$14,$C$15,$C$21,$AD38,$AC38,$C$33,$C$34)*$C$7</f>
        <v>10.984216601890514</v>
      </c>
      <c r="BF38" s="161">
        <f t="shared" ca="1" si="27"/>
        <v>-1.1987205327817492</v>
      </c>
      <c r="BG38" s="9"/>
      <c r="BH38" s="13">
        <f>[1]!srRng2E($C$13,BH$11-$V38)</f>
        <v>12.639066043083901</v>
      </c>
      <c r="BI38" s="372">
        <f>[2]!e5adE_ICs(BH38,$C$14,$C$15,$C$21,$AD38,$AC38,$C$33,$C$34)*$C$7</f>
        <v>10.605657714626256</v>
      </c>
      <c r="BJ38" s="161">
        <f t="shared" ca="1" si="28"/>
        <v>-0.23899266604065517</v>
      </c>
      <c r="BK38" s="9"/>
      <c r="BL38" s="13">
        <f>[1]!srRng2E($C$13,BL$11-$V38)</f>
        <v>13.081951530612244</v>
      </c>
      <c r="BM38" s="372">
        <f>[2]!e5adE_ICs(BL38,$C$14,$C$15,$C$21,$AD38,$AC38,$C$33,$C$34)*$C$7</f>
        <v>10.429845567841344</v>
      </c>
      <c r="BN38" s="161">
        <f t="shared" ca="1" si="29"/>
        <v>-1.7693918551793058</v>
      </c>
      <c r="BO38" s="9"/>
      <c r="BP38" s="124">
        <f t="shared" si="30"/>
        <v>11.271594361823706</v>
      </c>
      <c r="BQ38" s="124">
        <f t="shared" si="31"/>
        <v>10.984216601890514</v>
      </c>
      <c r="BR38" s="124">
        <f t="shared" si="32"/>
        <v>10.770634612409332</v>
      </c>
      <c r="BS38" s="124">
        <f t="shared" si="33"/>
        <v>10.605657714626256</v>
      </c>
      <c r="BT38" s="123">
        <f t="shared" si="34"/>
        <v>10.429845567841344</v>
      </c>
      <c r="BU38" s="9"/>
      <c r="BV38" s="124">
        <f t="shared" ca="1" si="35"/>
        <v>-3.2543437514529145</v>
      </c>
      <c r="BW38" s="124">
        <f t="shared" ca="1" si="36"/>
        <v>-1.1987205327817492</v>
      </c>
      <c r="BX38" s="124">
        <f t="shared" ca="1" si="5"/>
        <v>0.10459361144201829</v>
      </c>
      <c r="BY38" s="124">
        <f t="shared" ca="1" si="37"/>
        <v>-0.23899266604065517</v>
      </c>
      <c r="BZ38" s="123">
        <f t="shared" ca="1" si="38"/>
        <v>-1.7693918551793058</v>
      </c>
      <c r="CA38" s="142"/>
    </row>
    <row r="39" spans="2:79">
      <c r="D39" s="51"/>
      <c r="E39" s="51"/>
      <c r="F39" s="124">
        <f t="shared" si="6"/>
        <v>877.97</v>
      </c>
      <c r="G39" s="499" t="s">
        <v>207</v>
      </c>
      <c r="H39" s="233">
        <v>25</v>
      </c>
      <c r="I39" s="297"/>
      <c r="J39" s="343" t="str">
        <f t="shared" si="7"/>
        <v>1</v>
      </c>
      <c r="K39" s="343" t="str">
        <f t="shared" si="8"/>
        <v>2</v>
      </c>
      <c r="L39" s="343" t="str">
        <f t="shared" si="9"/>
        <v>3</v>
      </c>
      <c r="M39" s="343" t="str">
        <f t="shared" si="10"/>
        <v>4</v>
      </c>
      <c r="N39" s="343" t="str">
        <f t="shared" si="11"/>
        <v>5</v>
      </c>
      <c r="O39" s="343" t="str">
        <f t="shared" si="12"/>
        <v>0</v>
      </c>
      <c r="P39" s="343" t="str">
        <f t="shared" si="13"/>
        <v>7</v>
      </c>
      <c r="Q39" s="343" t="str">
        <f t="shared" si="14"/>
        <v>8</v>
      </c>
      <c r="R39" s="343" t="str">
        <f t="shared" si="15"/>
        <v>0</v>
      </c>
      <c r="S39" s="343" t="str">
        <f t="shared" si="16"/>
        <v>0</v>
      </c>
      <c r="T39" s="343" t="str">
        <f t="shared" si="17"/>
        <v>0</v>
      </c>
      <c r="U39" s="343" t="str">
        <f t="shared" si="18"/>
        <v>0</v>
      </c>
      <c r="V39" s="46">
        <f>[2]!e5aEDthkI(ThEDtbl,J39:U39)</f>
        <v>877.97</v>
      </c>
      <c r="W39" s="46"/>
      <c r="X39" s="177"/>
      <c r="Y39" s="381">
        <v>1.897E-6</v>
      </c>
      <c r="Z39" s="257">
        <v>4.6569999999999999E-8</v>
      </c>
      <c r="AA39" s="448">
        <v>3.9739999999999997E-8</v>
      </c>
      <c r="AB39" s="257">
        <v>1.301E-9</v>
      </c>
      <c r="AC39" s="251">
        <v>27.7</v>
      </c>
      <c r="AD39" s="382">
        <v>1008</v>
      </c>
      <c r="AE39" s="46"/>
      <c r="AF39" s="391">
        <f t="shared" si="19"/>
        <v>0.98232560674815705</v>
      </c>
      <c r="AG39" s="391">
        <f t="shared" si="1"/>
        <v>2.4115394573675102E-2</v>
      </c>
      <c r="AH39" s="344">
        <f t="shared" si="20"/>
        <v>110.02999999999997</v>
      </c>
      <c r="AI39" s="418">
        <f>[1]!srRng2E($C$13,AH39)</f>
        <v>11.771867216832087</v>
      </c>
      <c r="AJ39" s="124">
        <f>[1]!srE2Rng($C$14,AI39)/1000</f>
        <v>208.86391100702573</v>
      </c>
      <c r="AK39" s="161">
        <f>[1]!srEnewGas($C$14,AI39,$C$21,$AD39*100,$AC39)</f>
        <v>2.683861574917132</v>
      </c>
      <c r="AL39" s="161">
        <f>[1]!srE2LETt($C$12,AK39,0)</f>
        <v>40.832755755763742</v>
      </c>
      <c r="AM39" s="161">
        <f>[1]!srEnew($C$15,AK39,$C$33)</f>
        <v>2.329285926589133</v>
      </c>
      <c r="AN39" s="161">
        <f>[1]!srE2LETt($C$14,AM39,0)</f>
        <v>46.878717760382891</v>
      </c>
      <c r="AO39" s="161">
        <f>[1]!srEnewGas($C$14,AM39,$C$34,AD39*100,AC39)</f>
        <v>2.1985214432332936</v>
      </c>
      <c r="AP39" s="372">
        <f t="shared" si="21"/>
        <v>10.984216601890514</v>
      </c>
      <c r="AQ39" s="252">
        <f t="shared" ca="1" si="22"/>
        <v>11.097849227810507</v>
      </c>
      <c r="AR39" s="349">
        <f t="shared" ca="1" si="23"/>
        <v>0.39527098015721057</v>
      </c>
      <c r="AS39" s="252">
        <f t="shared" ca="1" si="24"/>
        <v>0.11363262591999224</v>
      </c>
      <c r="AT39" s="419">
        <f t="shared" si="2"/>
        <v>4.0455017895291726E-8</v>
      </c>
      <c r="AU39" s="349">
        <f t="shared" ca="1" si="3"/>
        <v>11.182326619195562</v>
      </c>
      <c r="AV39" s="349">
        <f t="shared" ca="1" si="25"/>
        <v>0.38715767263357392</v>
      </c>
      <c r="AW39" s="161">
        <f t="shared" ca="1" si="4"/>
        <v>0.19811001730504785</v>
      </c>
      <c r="AX39" s="9"/>
      <c r="AY39" s="9"/>
      <c r="AZ39" s="13">
        <f>[1]!srRng2E($C$13,AZ$11-$V39)</f>
        <v>10.842533734805395</v>
      </c>
      <c r="BA39" s="372">
        <f>[2]!e5adE_ICs(AZ39,$C$14,$C$15,$C$21,$AD39,$AC39,$C$33,$C$34)*$C$7</f>
        <v>11.238982968566024</v>
      </c>
      <c r="BB39" s="161">
        <f t="shared" ca="1" si="26"/>
        <v>-2.9601593595739271</v>
      </c>
      <c r="BC39" s="9"/>
      <c r="BD39" s="13">
        <f>[1]!srRng2E($C$13,BD$11-$V39)</f>
        <v>11.307200475818741</v>
      </c>
      <c r="BE39" s="372">
        <f>[2]!e5adE_ICs(BD39,$C$14,$C$15,$C$21,$AD39,$AC39,$C$33,$C$34)*$C$7</f>
        <v>11.257379193734069</v>
      </c>
      <c r="BF39" s="161">
        <f t="shared" ca="1" si="27"/>
        <v>-1.1742989140750595</v>
      </c>
      <c r="BG39" s="9"/>
      <c r="BH39" s="13">
        <f>[1]!srRng2E($C$13,BH$11-$V39)</f>
        <v>12.220982142857141</v>
      </c>
      <c r="BI39" s="372">
        <f>[2]!e5adE_ICs(BH39,$C$14,$C$15,$C$21,$AD39,$AC39,$C$33,$C$34)*$C$7</f>
        <v>10.770634612409332</v>
      </c>
      <c r="BJ39" s="161">
        <f t="shared" ca="1" si="28"/>
        <v>-0.11736051011466131</v>
      </c>
      <c r="BK39" s="9"/>
      <c r="BL39" s="13">
        <f>[1]!srRng2E($C$13,BL$11-$V39)</f>
        <v>12.663867630385484</v>
      </c>
      <c r="BM39" s="372">
        <f>[2]!e5adE_ICs(BL39,$C$14,$C$15,$C$21,$AD39,$AC39,$C$33,$C$34)*$C$7</f>
        <v>10.582910705197717</v>
      </c>
      <c r="BN39" s="161">
        <f t="shared" ca="1" si="29"/>
        <v>-1.6740991533801424</v>
      </c>
      <c r="BO39" s="9"/>
      <c r="BP39" s="124">
        <f t="shared" si="30"/>
        <v>11.238982968566024</v>
      </c>
      <c r="BQ39" s="124">
        <f t="shared" si="31"/>
        <v>11.257379193734069</v>
      </c>
      <c r="BR39" s="124">
        <f t="shared" si="32"/>
        <v>10.984216601890514</v>
      </c>
      <c r="BS39" s="124">
        <f t="shared" si="33"/>
        <v>10.770634612409332</v>
      </c>
      <c r="BT39" s="123">
        <f t="shared" si="34"/>
        <v>10.582910705197717</v>
      </c>
      <c r="BU39" s="9"/>
      <c r="BV39" s="124">
        <f t="shared" ca="1" si="35"/>
        <v>-2.9601593595739271</v>
      </c>
      <c r="BW39" s="124">
        <f t="shared" ca="1" si="36"/>
        <v>-1.1742989140750595</v>
      </c>
      <c r="BX39" s="124">
        <f t="shared" ca="1" si="5"/>
        <v>0.19811001730504785</v>
      </c>
      <c r="BY39" s="124">
        <f t="shared" ca="1" si="37"/>
        <v>-0.11736051011466131</v>
      </c>
      <c r="BZ39" s="123">
        <f t="shared" ca="1" si="38"/>
        <v>-1.6740991533801424</v>
      </c>
      <c r="CA39" s="142"/>
    </row>
    <row r="40" spans="2:79">
      <c r="D40" s="51"/>
      <c r="E40" s="51"/>
      <c r="F40" s="124">
        <f t="shared" si="6"/>
        <v>883.37999999999988</v>
      </c>
      <c r="G40" s="499" t="s">
        <v>203</v>
      </c>
      <c r="H40" s="233">
        <v>26</v>
      </c>
      <c r="I40" s="297"/>
      <c r="J40" s="343" t="str">
        <f t="shared" si="7"/>
        <v>0</v>
      </c>
      <c r="K40" s="343" t="str">
        <f t="shared" si="8"/>
        <v>0</v>
      </c>
      <c r="L40" s="343" t="str">
        <f t="shared" si="9"/>
        <v>0</v>
      </c>
      <c r="M40" s="343" t="str">
        <f t="shared" si="10"/>
        <v>0</v>
      </c>
      <c r="N40" s="343" t="str">
        <f t="shared" si="11"/>
        <v>5</v>
      </c>
      <c r="O40" s="343" t="str">
        <f t="shared" si="12"/>
        <v>6</v>
      </c>
      <c r="P40" s="343" t="str">
        <f t="shared" si="13"/>
        <v>7</v>
      </c>
      <c r="Q40" s="343" t="str">
        <f t="shared" si="14"/>
        <v>8</v>
      </c>
      <c r="R40" s="343" t="str">
        <f t="shared" si="15"/>
        <v>0</v>
      </c>
      <c r="S40" s="343" t="str">
        <f t="shared" si="16"/>
        <v>0</v>
      </c>
      <c r="T40" s="343" t="str">
        <f t="shared" si="17"/>
        <v>0</v>
      </c>
      <c r="U40" s="343" t="str">
        <f t="shared" si="18"/>
        <v>0</v>
      </c>
      <c r="V40" s="46">
        <f>[2]!e5aEDthkI(ThEDtbl,J40:U40)</f>
        <v>883.37999999999988</v>
      </c>
      <c r="W40" s="445"/>
      <c r="X40" s="446"/>
      <c r="Y40" s="381">
        <v>1.8870000000000001E-6</v>
      </c>
      <c r="Z40" s="257">
        <v>5.1399999999999997E-8</v>
      </c>
      <c r="AA40" s="448">
        <v>3.6729999999999999E-8</v>
      </c>
      <c r="AB40" s="257">
        <v>1.064E-8</v>
      </c>
      <c r="AC40" s="251">
        <v>27.7</v>
      </c>
      <c r="AD40" s="382">
        <v>1008</v>
      </c>
      <c r="AE40" s="46"/>
      <c r="AF40" s="391">
        <f t="shared" si="19"/>
        <v>0.97714729569518843</v>
      </c>
      <c r="AG40" s="391">
        <f t="shared" si="1"/>
        <v>2.6616518812258971E-2</v>
      </c>
      <c r="AH40" s="344">
        <f t="shared" si="20"/>
        <v>104.62000000000012</v>
      </c>
      <c r="AI40" s="418">
        <f>[1]!srRng2E($C$13,AH40)</f>
        <v>11.26909780305566</v>
      </c>
      <c r="AJ40" s="124">
        <f>[1]!srE2Rng($C$14,AI40)/1000</f>
        <v>198.51269320843116</v>
      </c>
      <c r="AK40" s="161">
        <f>[1]!srEnewGas($C$14,AI40,$C$21,$AD40*100,$AC40)</f>
        <v>1.9876713751124111</v>
      </c>
      <c r="AL40" s="161">
        <f>[1]!srE2LETt($C$12,AK40,0)</f>
        <v>40.724605664385429</v>
      </c>
      <c r="AM40" s="161">
        <f>[1]!srEnew($C$15,AK40,$C$33)</f>
        <v>1.6275263728868063</v>
      </c>
      <c r="AN40" s="161">
        <f>[1]!srE2LETt($C$14,AM40,0)</f>
        <v>47.987823229776296</v>
      </c>
      <c r="AO40" s="161">
        <f>[1]!srEnewGas($C$14,AM40,$C$34,AD40*100,AC40)</f>
        <v>1.4933407257222384</v>
      </c>
      <c r="AP40" s="372">
        <f t="shared" si="21"/>
        <v>11.271594361823706</v>
      </c>
      <c r="AQ40" s="252">
        <f t="shared" ca="1" si="22"/>
        <v>10.183348343665077</v>
      </c>
      <c r="AR40" s="349">
        <f t="shared" ca="1" si="23"/>
        <v>3.2326542881419833</v>
      </c>
      <c r="AS40" s="252">
        <f t="shared" ca="1" si="24"/>
        <v>-1.0882460181586282</v>
      </c>
      <c r="AT40" s="419">
        <f t="shared" si="2"/>
        <v>3.7589010543050785E-8</v>
      </c>
      <c r="AU40" s="349">
        <f t="shared" ca="1" si="3"/>
        <v>10.329446729691862</v>
      </c>
      <c r="AV40" s="349">
        <f t="shared" ca="1" si="25"/>
        <v>3.1663010275336099</v>
      </c>
      <c r="AW40" s="161">
        <f t="shared" ca="1" si="4"/>
        <v>-0.94214763213184405</v>
      </c>
      <c r="AX40" s="9"/>
      <c r="AY40" s="9"/>
      <c r="AZ40" s="13">
        <f>[1]!srRng2E($C$13,AZ$11-$V40)</f>
        <v>10.320392524826033</v>
      </c>
      <c r="BA40" s="372">
        <f>[2]!e5adE_ICs(AZ40,$C$14,$C$15,$C$21,$AD40,$AC40,$C$33,$C$34)*$C$7</f>
        <v>8.1430137488547256</v>
      </c>
      <c r="BB40" s="161">
        <f t="shared" ca="1" si="26"/>
        <v>-0.59063597462916917</v>
      </c>
      <c r="BC40" s="9"/>
      <c r="BD40" s="13">
        <f>[1]!srRng2E($C$13,BD$11-$V40)</f>
        <v>10.804431062042314</v>
      </c>
      <c r="BE40" s="372">
        <f>[2]!e5adE_ICs(BD40,$C$14,$C$15,$C$21,$AD40,$AC40,$C$33,$C$34)*$C$7</f>
        <v>11.211793661095868</v>
      </c>
      <c r="BF40" s="161">
        <f t="shared" ca="1" si="27"/>
        <v>-1.9551702840450975</v>
      </c>
      <c r="BG40" s="9"/>
      <c r="BH40" s="13">
        <f>[1]!srRng2E($C$13,BH$11-$V40)</f>
        <v>11.733764544069006</v>
      </c>
      <c r="BI40" s="372">
        <f>[2]!e5adE_ICs(BH40,$C$14,$C$15,$C$21,$AD40,$AC40,$C$33,$C$34)*$C$7</f>
        <v>10.984216601890552</v>
      </c>
      <c r="BJ40" s="161">
        <f t="shared" ca="1" si="28"/>
        <v>-1.1269189741201675</v>
      </c>
      <c r="BK40" s="9"/>
      <c r="BL40" s="13">
        <f>[1]!srRng2E($C$13,BL$11-$V40)</f>
        <v>12.18466553287983</v>
      </c>
      <c r="BM40" s="372">
        <f>[2]!e5adE_ICs(BL40,$C$14,$C$15,$C$21,$AD40,$AC40,$C$33,$C$34)*$C$7</f>
        <v>10.770634612409332</v>
      </c>
      <c r="BN40" s="161">
        <f t="shared" ca="1" si="29"/>
        <v>-2.5515674865726634</v>
      </c>
      <c r="BO40" s="9"/>
      <c r="BP40" s="124">
        <f t="shared" si="30"/>
        <v>8.1430137488547256</v>
      </c>
      <c r="BQ40" s="124">
        <f t="shared" si="31"/>
        <v>11.211793661095868</v>
      </c>
      <c r="BR40" s="124">
        <f t="shared" si="32"/>
        <v>11.271594361823706</v>
      </c>
      <c r="BS40" s="124">
        <f t="shared" si="33"/>
        <v>10.984216601890552</v>
      </c>
      <c r="BT40" s="123">
        <f t="shared" si="34"/>
        <v>10.770634612409332</v>
      </c>
      <c r="BU40" s="9"/>
      <c r="BV40" s="124">
        <f t="shared" ca="1" si="35"/>
        <v>-0.59063597462916917</v>
      </c>
      <c r="BW40" s="124">
        <f t="shared" ca="1" si="36"/>
        <v>-1.9551702840450975</v>
      </c>
      <c r="BX40" s="124">
        <f t="shared" ca="1" si="5"/>
        <v>-0.94214763213184405</v>
      </c>
      <c r="BY40" s="124">
        <f t="shared" ca="1" si="37"/>
        <v>-1.1269189741201675</v>
      </c>
      <c r="BZ40" s="123">
        <f t="shared" ca="1" si="38"/>
        <v>-2.5515674865726634</v>
      </c>
      <c r="CA40" s="142"/>
    </row>
    <row r="41" spans="2:79" ht="12.75" customHeight="1">
      <c r="D41" s="51"/>
      <c r="E41" s="51"/>
      <c r="F41" s="124">
        <f t="shared" si="6"/>
        <v>884.01</v>
      </c>
      <c r="G41" s="498" t="s">
        <v>265</v>
      </c>
      <c r="H41" s="233">
        <v>27</v>
      </c>
      <c r="I41" s="297"/>
      <c r="J41" s="343" t="str">
        <f t="shared" si="7"/>
        <v>1</v>
      </c>
      <c r="K41" s="343" t="str">
        <f t="shared" si="8"/>
        <v>2</v>
      </c>
      <c r="L41" s="343" t="str">
        <f t="shared" si="9"/>
        <v>3</v>
      </c>
      <c r="M41" s="343" t="str">
        <f t="shared" si="10"/>
        <v>4</v>
      </c>
      <c r="N41" s="343" t="str">
        <f t="shared" si="11"/>
        <v>0</v>
      </c>
      <c r="O41" s="343" t="str">
        <f t="shared" si="12"/>
        <v>6</v>
      </c>
      <c r="P41" s="343" t="str">
        <f t="shared" si="13"/>
        <v>7</v>
      </c>
      <c r="Q41" s="343" t="str">
        <f t="shared" si="14"/>
        <v>8</v>
      </c>
      <c r="R41" s="343" t="str">
        <f t="shared" si="15"/>
        <v>0</v>
      </c>
      <c r="S41" s="343" t="str">
        <f t="shared" si="16"/>
        <v>A</v>
      </c>
      <c r="T41" s="343" t="str">
        <f t="shared" si="17"/>
        <v>0</v>
      </c>
      <c r="U41" s="343" t="str">
        <f t="shared" si="18"/>
        <v>0</v>
      </c>
      <c r="V41" s="46">
        <f>[2]!e5aEDthkI(ThEDtbl,J41:U41)</f>
        <v>884.01</v>
      </c>
      <c r="W41" s="445"/>
      <c r="X41" s="446"/>
      <c r="Y41" s="381">
        <v>1.872E-6</v>
      </c>
      <c r="Z41" s="257">
        <v>3.627E-8</v>
      </c>
      <c r="AA41" s="448">
        <v>4.0410000000000003E-8</v>
      </c>
      <c r="AB41" s="257">
        <v>1.637E-9</v>
      </c>
      <c r="AC41" s="251">
        <v>27.7</v>
      </c>
      <c r="AD41" s="382">
        <v>1008</v>
      </c>
      <c r="AE41" s="46"/>
      <c r="AF41" s="391">
        <f t="shared" si="19"/>
        <v>0.96937982911573539</v>
      </c>
      <c r="AG41" s="391">
        <f t="shared" si="1"/>
        <v>1.8781734189117372E-2</v>
      </c>
      <c r="AH41" s="344">
        <f t="shared" si="20"/>
        <v>103.99000000000001</v>
      </c>
      <c r="AI41" s="418">
        <f>[1]!srRng2E($C$13,AH41)</f>
        <v>11.210549793687967</v>
      </c>
      <c r="AJ41" s="124">
        <f>[1]!srE2Rng($C$14,AI41)/1000</f>
        <v>197.30728337236533</v>
      </c>
      <c r="AK41" s="161">
        <f>[1]!srEnewGas($C$14,AI41,$C$21,$AD41*100,$AC41)</f>
        <v>1.9056707059922879</v>
      </c>
      <c r="AL41" s="161">
        <f>[1]!srE2LETt($C$12,AK41,0)</f>
        <v>40.548491843308106</v>
      </c>
      <c r="AM41" s="161">
        <f>[1]!srEnew($C$15,AK41,$C$33)</f>
        <v>1.5448788267438178</v>
      </c>
      <c r="AN41" s="161">
        <f>[1]!srE2LETt($C$14,AM41,0)</f>
        <v>48.150815847878484</v>
      </c>
      <c r="AO41" s="161">
        <f>[1]!srEnewGas($C$14,AM41,$C$34,AD41*100,AC41)</f>
        <v>1.4106931795792494</v>
      </c>
      <c r="AP41" s="372">
        <f t="shared" si="21"/>
        <v>11.271594361823745</v>
      </c>
      <c r="AQ41" s="252">
        <f t="shared" ca="1" si="22"/>
        <v>11.301409225278094</v>
      </c>
      <c r="AR41" s="349">
        <f t="shared" ca="1" si="23"/>
        <v>0.49735479978274688</v>
      </c>
      <c r="AS41" s="252">
        <f t="shared" ca="1" si="24"/>
        <v>2.9814863454349805E-2</v>
      </c>
      <c r="AT41" s="419">
        <f t="shared" si="2"/>
        <v>4.1686446103238867E-8</v>
      </c>
      <c r="AU41" s="349">
        <f t="shared" ca="1" si="3"/>
        <v>11.548780792142638</v>
      </c>
      <c r="AV41" s="349">
        <f t="shared" ca="1" si="25"/>
        <v>0.48714612613463532</v>
      </c>
      <c r="AW41" s="161">
        <f t="shared" ca="1" si="4"/>
        <v>0.27718643031889378</v>
      </c>
      <c r="AX41" s="9"/>
      <c r="AY41" s="9"/>
      <c r="AZ41" s="13">
        <f>[1]!srRng2E($C$13,AZ$11-$V41)</f>
        <v>10.25881617014622</v>
      </c>
      <c r="BA41" s="372">
        <f>[2]!e5adE_ICs(AZ41,$C$14,$C$15,$C$21,$AD41,$AC41,$C$33,$C$34)*$C$7</f>
        <v>7.1968729434925116</v>
      </c>
      <c r="BB41" s="161">
        <f t="shared" ca="1" si="26"/>
        <v>1.39408032273084</v>
      </c>
      <c r="BC41" s="9"/>
      <c r="BD41" s="13">
        <f>[1]!srRng2E($C$13,BD$11-$V41)</f>
        <v>10.745883052674621</v>
      </c>
      <c r="BE41" s="372">
        <f>[2]!e5adE_ICs(BD41,$C$14,$C$15,$C$21,$AD41,$AC41,$C$33,$C$34)*$C$7</f>
        <v>11.142386614682403</v>
      </c>
      <c r="BF41" s="161">
        <f t="shared" ca="1" si="27"/>
        <v>-0.70420524230335957</v>
      </c>
      <c r="BG41" s="9"/>
      <c r="BH41" s="13">
        <f>[1]!srRng2E($C$13,BH$11-$V41)</f>
        <v>11.675216534701313</v>
      </c>
      <c r="BI41" s="372">
        <f>[2]!e5adE_ICs(BH41,$C$14,$C$15,$C$21,$AD41,$AC41,$C$33,$C$34)*$C$7</f>
        <v>11.002910669215952</v>
      </c>
      <c r="BJ41" s="161">
        <f t="shared" ca="1" si="28"/>
        <v>-7.6319022001278825E-3</v>
      </c>
      <c r="BK41" s="9"/>
      <c r="BL41" s="13">
        <f>[1]!srRng2E($C$13,BL$11-$V41)</f>
        <v>12.128861961451248</v>
      </c>
      <c r="BM41" s="372">
        <f>[2]!e5adE_ICs(BL41,$C$14,$C$15,$C$21,$AD41,$AC41,$C$33,$C$34)*$C$7</f>
        <v>10.770634612409332</v>
      </c>
      <c r="BN41" s="161">
        <f t="shared" ca="1" si="29"/>
        <v>-1.5654627802306234</v>
      </c>
      <c r="BO41" s="9"/>
      <c r="BP41" s="124">
        <f t="shared" si="30"/>
        <v>7.1968729434925116</v>
      </c>
      <c r="BQ41" s="124">
        <f t="shared" si="31"/>
        <v>11.142386614682403</v>
      </c>
      <c r="BR41" s="124">
        <f t="shared" si="32"/>
        <v>11.271594361823745</v>
      </c>
      <c r="BS41" s="124">
        <f t="shared" si="33"/>
        <v>11.002910669215952</v>
      </c>
      <c r="BT41" s="123">
        <f t="shared" si="34"/>
        <v>10.770634612409332</v>
      </c>
      <c r="BU41" s="9"/>
      <c r="BV41" s="124">
        <f t="shared" ca="1" si="35"/>
        <v>1.39408032273084</v>
      </c>
      <c r="BW41" s="124">
        <f t="shared" ca="1" si="36"/>
        <v>-0.70420524230335957</v>
      </c>
      <c r="BX41" s="124">
        <f t="shared" ca="1" si="5"/>
        <v>0.27718643031889378</v>
      </c>
      <c r="BY41" s="124">
        <f t="shared" ca="1" si="37"/>
        <v>-7.6319022001278825E-3</v>
      </c>
      <c r="BZ41" s="123">
        <f t="shared" ca="1" si="38"/>
        <v>-1.5654627802306234</v>
      </c>
      <c r="CA41" s="142"/>
    </row>
    <row r="42" spans="2:79">
      <c r="D42" s="51"/>
      <c r="E42" s="51"/>
      <c r="F42" s="124">
        <f t="shared" si="6"/>
        <v>888.8599999999999</v>
      </c>
      <c r="G42" s="498" t="s">
        <v>204</v>
      </c>
      <c r="H42" s="233">
        <v>28</v>
      </c>
      <c r="I42" s="297"/>
      <c r="J42" s="343" t="str">
        <f t="shared" si="7"/>
        <v>0</v>
      </c>
      <c r="K42" s="343" t="str">
        <f t="shared" si="8"/>
        <v>0</v>
      </c>
      <c r="L42" s="343" t="str">
        <f t="shared" si="9"/>
        <v>0</v>
      </c>
      <c r="M42" s="343" t="str">
        <f t="shared" si="10"/>
        <v>0</v>
      </c>
      <c r="N42" s="343" t="str">
        <f t="shared" si="11"/>
        <v>5</v>
      </c>
      <c r="O42" s="343" t="str">
        <f t="shared" si="12"/>
        <v>6</v>
      </c>
      <c r="P42" s="343" t="str">
        <f t="shared" si="13"/>
        <v>7</v>
      </c>
      <c r="Q42" s="343" t="str">
        <f t="shared" si="14"/>
        <v>8</v>
      </c>
      <c r="R42" s="343" t="str">
        <f t="shared" si="15"/>
        <v>0</v>
      </c>
      <c r="S42" s="343" t="str">
        <f t="shared" si="16"/>
        <v>A</v>
      </c>
      <c r="T42" s="343" t="str">
        <f t="shared" si="17"/>
        <v>0</v>
      </c>
      <c r="U42" s="343" t="str">
        <f t="shared" si="18"/>
        <v>0</v>
      </c>
      <c r="V42" s="46">
        <f>[2]!e5aEDthkI(ThEDtbl,J42:U42)</f>
        <v>888.8599999999999</v>
      </c>
      <c r="W42" s="445"/>
      <c r="X42" s="446"/>
      <c r="Y42" s="381">
        <v>1.863E-6</v>
      </c>
      <c r="Z42" s="257">
        <v>8.9299999999999999E-8</v>
      </c>
      <c r="AA42" s="448">
        <v>3.7319999999999999E-8</v>
      </c>
      <c r="AB42" s="257">
        <v>1.5090000000000001E-9</v>
      </c>
      <c r="AC42" s="251">
        <v>27.7</v>
      </c>
      <c r="AD42" s="382">
        <v>1008</v>
      </c>
      <c r="AE42" s="46"/>
      <c r="AF42" s="391">
        <f t="shared" si="19"/>
        <v>0.96471934916806357</v>
      </c>
      <c r="AG42" s="391">
        <f t="shared" si="1"/>
        <v>4.6242317703010238E-2</v>
      </c>
      <c r="AH42" s="344">
        <f t="shared" si="20"/>
        <v>99.1400000000001</v>
      </c>
      <c r="AI42" s="418">
        <f>[1]!srRng2E($C$13,AH42)</f>
        <v>10.759823054905031</v>
      </c>
      <c r="AJ42" s="124">
        <f>[1]!srE2Rng($C$14,AI42)/1000</f>
        <v>188.02754098360674</v>
      </c>
      <c r="AK42" s="161">
        <f>[1]!srEnewGas($C$14,AI42,$C$21,$AD42*100,$AC42)</f>
        <v>1.2666121546455049</v>
      </c>
      <c r="AL42" s="161">
        <f>[1]!srE2LETt($C$12,AK42,0)</f>
        <v>38.321339430803818</v>
      </c>
      <c r="AM42" s="161">
        <f>[1]!srEnew($C$15,AK42,$C$33)</f>
        <v>0.90200259097482971</v>
      </c>
      <c r="AN42" s="161">
        <f>[1]!srE2LETt($C$14,AM42,0)</f>
        <v>47.970933620955272</v>
      </c>
      <c r="AO42" s="161">
        <f>[1]!srEnewGas($C$14,AM42,$C$34,AD42*100,AC42)</f>
        <v>0.76901971197325114</v>
      </c>
      <c r="AP42" s="372">
        <f t="shared" si="21"/>
        <v>11.170561836132599</v>
      </c>
      <c r="AQ42" s="252">
        <f t="shared" ca="1" si="22"/>
        <v>10.362602669793253</v>
      </c>
      <c r="AR42" s="349">
        <f t="shared" ca="1" si="23"/>
        <v>0.45846572563968546</v>
      </c>
      <c r="AS42" s="252">
        <f t="shared" ca="1" si="24"/>
        <v>-0.80795916633934617</v>
      </c>
      <c r="AT42" s="419">
        <f t="shared" si="2"/>
        <v>3.8684825832697688E-8</v>
      </c>
      <c r="AU42" s="349">
        <f t="shared" ca="1" si="3"/>
        <v>10.655544575330586</v>
      </c>
      <c r="AV42" s="349">
        <f t="shared" ca="1" si="25"/>
        <v>0.44905528670565958</v>
      </c>
      <c r="AW42" s="161">
        <f t="shared" ca="1" si="4"/>
        <v>-0.51501726080201315</v>
      </c>
      <c r="AX42" s="9"/>
      <c r="AY42" s="9"/>
      <c r="AZ42" s="13">
        <f>[1]!srRng2E($C$13,AZ$11-$V42)</f>
        <v>9.7847759793572688</v>
      </c>
      <c r="BA42" s="372">
        <f>[2]!e5adE_ICs(AZ42,$C$14,$C$15,$C$21,$AD42,$AC42,$C$33,$C$34)*$C$7</f>
        <v>1.798580244624463</v>
      </c>
      <c r="BB42" s="161">
        <f t="shared" ca="1" si="26"/>
        <v>6.0315534300578886</v>
      </c>
      <c r="BC42" s="9"/>
      <c r="BD42" s="13">
        <f>[1]!srRng2E($C$13,BD$11-$V42)</f>
        <v>10.273477206974754</v>
      </c>
      <c r="BE42" s="372">
        <f>[2]!e5adE_ICs(BD42,$C$14,$C$15,$C$21,$AD42,$AC42,$C$33,$C$34)*$C$7</f>
        <v>7.4404203916724043</v>
      </c>
      <c r="BF42" s="161">
        <f t="shared" ca="1" si="27"/>
        <v>2.1321980261462148</v>
      </c>
      <c r="BG42" s="9"/>
      <c r="BH42" s="13">
        <f>[1]!srRng2E($C$13,BH$11-$V42)</f>
        <v>11.224489795918377</v>
      </c>
      <c r="BI42" s="372">
        <f>[2]!e5adE_ICs(BH42,$C$14,$C$15,$C$21,$AD42,$AC42,$C$33,$C$34)*$C$7</f>
        <v>11.271594361823725</v>
      </c>
      <c r="BJ42" s="161">
        <f t="shared" ca="1" si="28"/>
        <v>-1.1099558570835235</v>
      </c>
      <c r="BK42" s="9"/>
      <c r="BL42" s="13">
        <f>[1]!srRng2E($C$13,BL$11-$V42)</f>
        <v>11.689156536931723</v>
      </c>
      <c r="BM42" s="372">
        <f>[2]!e5adE_ICs(BL42,$C$14,$C$15,$C$21,$AD42,$AC42,$C$33,$C$34)*$C$7</f>
        <v>10.998299184455185</v>
      </c>
      <c r="BN42" s="161">
        <f t="shared" ca="1" si="29"/>
        <v>-2.5155089082408271</v>
      </c>
      <c r="BO42" s="9"/>
      <c r="BP42" s="124">
        <f t="shared" si="30"/>
        <v>1.798580244624463</v>
      </c>
      <c r="BQ42" s="124">
        <f t="shared" si="31"/>
        <v>7.4404203916724043</v>
      </c>
      <c r="BR42" s="124">
        <f t="shared" si="32"/>
        <v>11.170561836132599</v>
      </c>
      <c r="BS42" s="124">
        <f t="shared" si="33"/>
        <v>11.271594361823725</v>
      </c>
      <c r="BT42" s="123">
        <f t="shared" si="34"/>
        <v>10.998299184455185</v>
      </c>
      <c r="BU42" s="9"/>
      <c r="BV42" s="124">
        <f t="shared" ca="1" si="35"/>
        <v>6.0315534300578886</v>
      </c>
      <c r="BW42" s="124">
        <f t="shared" ca="1" si="36"/>
        <v>2.1321980261462148</v>
      </c>
      <c r="BX42" s="124">
        <f t="shared" ca="1" si="5"/>
        <v>-0.51501726080201315</v>
      </c>
      <c r="BY42" s="124">
        <f t="shared" ca="1" si="37"/>
        <v>-1.1099558570835235</v>
      </c>
      <c r="BZ42" s="123">
        <f t="shared" ca="1" si="38"/>
        <v>-2.5155089082408271</v>
      </c>
      <c r="CA42" s="142"/>
    </row>
    <row r="43" spans="2:79">
      <c r="D43" s="51"/>
      <c r="E43" s="51"/>
      <c r="F43" s="124">
        <f t="shared" si="6"/>
        <v>893.57999999999993</v>
      </c>
      <c r="G43" s="498" t="s">
        <v>268</v>
      </c>
      <c r="H43" s="233">
        <v>28</v>
      </c>
      <c r="I43" s="297"/>
      <c r="J43" s="343" t="str">
        <f t="shared" si="7"/>
        <v>1</v>
      </c>
      <c r="K43" s="343" t="str">
        <f t="shared" si="8"/>
        <v>0</v>
      </c>
      <c r="L43" s="343" t="str">
        <f t="shared" si="9"/>
        <v>0</v>
      </c>
      <c r="M43" s="343" t="str">
        <f t="shared" si="10"/>
        <v>0</v>
      </c>
      <c r="N43" s="343" t="str">
        <f t="shared" si="11"/>
        <v>5</v>
      </c>
      <c r="O43" s="343" t="str">
        <f t="shared" si="12"/>
        <v>6</v>
      </c>
      <c r="P43" s="343" t="str">
        <f t="shared" si="13"/>
        <v>7</v>
      </c>
      <c r="Q43" s="343" t="str">
        <f t="shared" si="14"/>
        <v>8</v>
      </c>
      <c r="R43" s="343" t="str">
        <f t="shared" si="15"/>
        <v>0</v>
      </c>
      <c r="S43" s="343" t="str">
        <f t="shared" si="16"/>
        <v>0</v>
      </c>
      <c r="T43" s="343" t="str">
        <f t="shared" si="17"/>
        <v>0</v>
      </c>
      <c r="U43" s="343" t="str">
        <f t="shared" si="18"/>
        <v>0</v>
      </c>
      <c r="V43" s="46">
        <f>[2]!e5aEDthkI(ThEDtbl,J43:U43)</f>
        <v>893.57999999999993</v>
      </c>
      <c r="W43" s="445"/>
      <c r="X43" s="446"/>
      <c r="Y43" s="447">
        <v>1.9269999999999999E-6</v>
      </c>
      <c r="Z43" s="448">
        <v>6.8579999999999996E-8</v>
      </c>
      <c r="AA43" s="448">
        <v>2.634E-8</v>
      </c>
      <c r="AB43" s="448">
        <v>4.4640000000000003E-9</v>
      </c>
      <c r="AC43" s="449">
        <v>27.7</v>
      </c>
      <c r="AD43" s="450">
        <v>1008</v>
      </c>
      <c r="AE43" s="46"/>
      <c r="AF43" s="391">
        <f t="shared" si="19"/>
        <v>0.99786053990706303</v>
      </c>
      <c r="AG43" s="391">
        <f t="shared" si="1"/>
        <v>3.551285720125915E-2</v>
      </c>
      <c r="AH43" s="344">
        <f t="shared" si="20"/>
        <v>94.420000000000073</v>
      </c>
      <c r="AI43" s="418">
        <f>[1]!srRng2E($C$13,AH43)</f>
        <v>10.300844475721329</v>
      </c>
      <c r="AJ43" s="124">
        <f>[1]!srE2Rng($C$14,AI43)/1000</f>
        <v>179.00507389162573</v>
      </c>
      <c r="AK43" s="161">
        <f>[1]!srEnewGas($C$14,AI43,$C$21,$AD43*100,$AC43)</f>
        <v>0.6469878268803656</v>
      </c>
      <c r="AL43" s="161">
        <f>[1]!srE2LETt($C$12,AK43,0)</f>
        <v>32.940545023370959</v>
      </c>
      <c r="AM43" s="161">
        <f>[1]!srEnew($C$15,AK43,$C$33)</f>
        <v>0.33853021455774462</v>
      </c>
      <c r="AN43" s="161">
        <f>[1]!srE2LETt($C$14,AM43,0)</f>
        <v>36.773446020860604</v>
      </c>
      <c r="AO43" s="161">
        <f>[1]!srEnewGas($C$14,AM43,$C$34,AD43*100,AC43)</f>
        <v>0.24480589405138778</v>
      </c>
      <c r="AP43" s="372">
        <f t="shared" si="21"/>
        <v>7.8728429225339749</v>
      </c>
      <c r="AQ43" s="252">
        <f t="shared" ca="1" si="22"/>
        <v>7.0266492784587617</v>
      </c>
      <c r="AR43" s="349">
        <f t="shared" ca="1" si="23"/>
        <v>1.3562564607392684</v>
      </c>
      <c r="AS43" s="252">
        <f t="shared" ca="1" si="24"/>
        <v>-0.84619364407521314</v>
      </c>
      <c r="AT43" s="419">
        <f t="shared" si="2"/>
        <v>2.6396474203151885E-8</v>
      </c>
      <c r="AU43" s="349">
        <f t="shared" ca="1" si="3"/>
        <v>6.998719350581978</v>
      </c>
      <c r="AV43" s="349">
        <f t="shared" ca="1" si="25"/>
        <v>1.3284180250855298</v>
      </c>
      <c r="AW43" s="161">
        <f t="shared" ca="1" si="4"/>
        <v>-0.87412357195199686</v>
      </c>
      <c r="AX43" s="9"/>
      <c r="AY43" s="9"/>
      <c r="AZ43" s="13">
        <f>[1]!srRng2E($C$13,AZ$11-$V43)</f>
        <v>9.3132421216976944</v>
      </c>
      <c r="BA43" s="372">
        <f>[2]!e5adE_ICs(AZ43,$C$14,$C$15,$C$21,$AD43,$AC43,$C$33,$C$34)*$C$7</f>
        <v>0</v>
      </c>
      <c r="BB43" s="161">
        <f t="shared" ca="1" si="26"/>
        <v>4.7154096840232755</v>
      </c>
      <c r="BC43" s="9"/>
      <c r="BD43" s="13">
        <f>[1]!srRng2E($C$13,BD$11-$V43)</f>
        <v>9.8121432481038457</v>
      </c>
      <c r="BE43" s="372">
        <f>[2]!e5adE_ICs(BD43,$C$14,$C$15,$C$21,$AD43,$AC43,$C$33,$C$34)*$C$7</f>
        <v>1.8887119335467764</v>
      </c>
      <c r="BF43" s="161">
        <f t="shared" ca="1" si="27"/>
        <v>4.1403729975295711</v>
      </c>
      <c r="BG43" s="9"/>
      <c r="BH43" s="13">
        <f>[1]!srRng2E($C$13,BH$11-$V43)</f>
        <v>10.785844392401776</v>
      </c>
      <c r="BI43" s="372">
        <f>[2]!e5adE_ICs(BH43,$C$14,$C$15,$C$21,$AD43,$AC43,$C$33,$C$34)*$C$7</f>
        <v>11.192919239553886</v>
      </c>
      <c r="BJ43" s="161">
        <f t="shared" ca="1" si="28"/>
        <v>-4.4441257158820928</v>
      </c>
      <c r="BK43" s="9"/>
      <c r="BL43" s="13">
        <f>[1]!srRng2E($C$13,BL$11-$V43)</f>
        <v>11.250511133415122</v>
      </c>
      <c r="BM43" s="372">
        <f>[2]!e5adE_ICs(BL43,$C$14,$C$15,$C$21,$AD43,$AC43,$C$33,$C$34)*$C$7</f>
        <v>11.271594361823706</v>
      </c>
      <c r="BN43" s="161">
        <f t="shared" ca="1" si="29"/>
        <v>-5.7461663667442275</v>
      </c>
      <c r="BO43" s="9"/>
      <c r="BP43" s="124">
        <f t="shared" si="30"/>
        <v>0</v>
      </c>
      <c r="BQ43" s="124">
        <f t="shared" si="31"/>
        <v>1.8887119335467764</v>
      </c>
      <c r="BR43" s="124">
        <f t="shared" si="32"/>
        <v>7.8728429225339749</v>
      </c>
      <c r="BS43" s="124">
        <f t="shared" si="33"/>
        <v>11.192919239553886</v>
      </c>
      <c r="BT43" s="123">
        <f t="shared" si="34"/>
        <v>11.271594361823706</v>
      </c>
      <c r="BU43" s="9"/>
      <c r="BV43" s="124">
        <f t="shared" ca="1" si="35"/>
        <v>4.7154096840232755</v>
      </c>
      <c r="BW43" s="124">
        <f t="shared" ca="1" si="36"/>
        <v>4.1403729975295711</v>
      </c>
      <c r="BX43" s="124">
        <f t="shared" ca="1" si="5"/>
        <v>-0.87412357195199686</v>
      </c>
      <c r="BY43" s="124">
        <f t="shared" ca="1" si="37"/>
        <v>-4.4441257158820928</v>
      </c>
      <c r="BZ43" s="123">
        <f t="shared" ca="1" si="38"/>
        <v>-5.7461663667442275</v>
      </c>
      <c r="CA43" s="142"/>
    </row>
    <row r="44" spans="2:79">
      <c r="D44" s="51"/>
      <c r="E44" s="51"/>
      <c r="F44" s="124">
        <f t="shared" si="6"/>
        <v>896.18</v>
      </c>
      <c r="G44" s="498" t="s">
        <v>205</v>
      </c>
      <c r="H44" s="233">
        <v>28</v>
      </c>
      <c r="I44" s="297"/>
      <c r="J44" s="343" t="str">
        <f t="shared" si="7"/>
        <v>0</v>
      </c>
      <c r="K44" s="343" t="str">
        <f t="shared" si="8"/>
        <v>2</v>
      </c>
      <c r="L44" s="343" t="str">
        <f t="shared" si="9"/>
        <v>0</v>
      </c>
      <c r="M44" s="343" t="str">
        <f t="shared" si="10"/>
        <v>0</v>
      </c>
      <c r="N44" s="343" t="str">
        <f t="shared" si="11"/>
        <v>5</v>
      </c>
      <c r="O44" s="343" t="str">
        <f t="shared" si="12"/>
        <v>6</v>
      </c>
      <c r="P44" s="343" t="str">
        <f t="shared" si="13"/>
        <v>7</v>
      </c>
      <c r="Q44" s="343" t="str">
        <f t="shared" si="14"/>
        <v>8</v>
      </c>
      <c r="R44" s="343" t="str">
        <f t="shared" si="15"/>
        <v>0</v>
      </c>
      <c r="S44" s="343" t="str">
        <f t="shared" si="16"/>
        <v>0</v>
      </c>
      <c r="T44" s="343" t="str">
        <f t="shared" si="17"/>
        <v>0</v>
      </c>
      <c r="U44" s="343" t="str">
        <f t="shared" si="18"/>
        <v>0</v>
      </c>
      <c r="V44" s="46">
        <f>[2]!e5aEDthkI(ThEDtbl,J44:U44)</f>
        <v>896.18</v>
      </c>
      <c r="W44" s="445"/>
      <c r="X44" s="500"/>
      <c r="Y44" s="447">
        <v>1.891E-6</v>
      </c>
      <c r="Z44" s="448">
        <v>3.9809999999999997E-8</v>
      </c>
      <c r="AA44" s="448">
        <v>2.0380000000000001E-8</v>
      </c>
      <c r="AB44" s="448">
        <v>8.0919999999999996E-10</v>
      </c>
      <c r="AC44" s="449">
        <v>27.7</v>
      </c>
      <c r="AD44" s="450">
        <v>1008</v>
      </c>
      <c r="AE44" s="46"/>
      <c r="AF44" s="391">
        <f t="shared" si="19"/>
        <v>0.97921862011637584</v>
      </c>
      <c r="AG44" s="391">
        <f t="shared" si="1"/>
        <v>2.0614856301868281E-2</v>
      </c>
      <c r="AH44" s="344">
        <f t="shared" si="20"/>
        <v>91.82000000000005</v>
      </c>
      <c r="AI44" s="418">
        <f>[1]!srRng2E($C$13,AH44)</f>
        <v>10.046719837360236</v>
      </c>
      <c r="AJ44" s="124">
        <f>[1]!srE2Rng($C$14,AI44)/1000</f>
        <v>174.0356157635469</v>
      </c>
      <c r="AK44" s="161">
        <f>[1]!srEnewGas($C$14,AI44,$C$21,$AD44*100,$AC44)</f>
        <v>0.34500912889393015</v>
      </c>
      <c r="AL44" s="161">
        <f>[1]!srE2LETt($C$12,AK44,0)</f>
        <v>26.407149840641459</v>
      </c>
      <c r="AM44" s="161">
        <f>[1]!srEnew($C$15,AK44,$C$33)</f>
        <v>0.13876399815570792</v>
      </c>
      <c r="AN44" s="161">
        <f>[1]!srE2LETt($C$14,AM44,0)</f>
        <v>18.808595352576141</v>
      </c>
      <c r="AO44" s="161">
        <f>[1]!srEnewGas($C$14,AM44,$C$34,AD44*100,AC44)</f>
        <v>9.3726438805768753E-2</v>
      </c>
      <c r="AP44" s="372">
        <f t="shared" si="21"/>
        <v>3.7831549853948898</v>
      </c>
      <c r="AQ44" s="252">
        <f t="shared" ca="1" si="22"/>
        <v>5.2158767636724628</v>
      </c>
      <c r="AR44" s="349">
        <f t="shared" ca="1" si="23"/>
        <v>0.24585186559816663</v>
      </c>
      <c r="AS44" s="252">
        <f t="shared" ca="1" si="24"/>
        <v>1.432721778277573</v>
      </c>
      <c r="AT44" s="419">
        <f t="shared" si="2"/>
        <v>2.081251273344652E-8</v>
      </c>
      <c r="AU44" s="349">
        <f t="shared" ca="1" si="3"/>
        <v>5.3370179465184266</v>
      </c>
      <c r="AV44" s="349">
        <f t="shared" ca="1" si="25"/>
        <v>0.24080552551505613</v>
      </c>
      <c r="AW44" s="161">
        <f t="shared" ca="1" si="4"/>
        <v>1.5538629611235368</v>
      </c>
      <c r="AX44" s="9"/>
      <c r="AY44" s="9"/>
      <c r="AZ44" s="13">
        <f>[1]!srRng2E($C$13,AZ$11-$V44)</f>
        <v>9.0461810263363382</v>
      </c>
      <c r="BA44" s="372">
        <f>[2]!e5adE_ICs(AZ44,$C$14,$C$15,$C$21,$AD44,$AC44,$C$33,$C$34)*$C$7</f>
        <v>0</v>
      </c>
      <c r="BB44" s="161">
        <f t="shared" ca="1" si="26"/>
        <v>3.3000450137294064</v>
      </c>
      <c r="BC44" s="9"/>
      <c r="BD44" s="13">
        <f>[1]!srRng2E($C$13,BD$11-$V44)</f>
        <v>9.5580186097427529</v>
      </c>
      <c r="BE44" s="372">
        <f>[2]!e5adE_ICs(BD44,$C$14,$C$15,$C$21,$AD44,$AC44,$C$33,$C$34)*$C$7</f>
        <v>0</v>
      </c>
      <c r="BF44" s="161">
        <f t="shared" ca="1" si="27"/>
        <v>4.4188645326785432</v>
      </c>
      <c r="BG44" s="9"/>
      <c r="BH44" s="13">
        <f>[1]!srRng2E($C$13,BH$11-$V44)</f>
        <v>10.535421064977719</v>
      </c>
      <c r="BI44" s="372">
        <f>[2]!e5adE_ICs(BH44,$C$14,$C$15,$C$21,$AD44,$AC44,$C$33,$C$34)*$C$7</f>
        <v>10.297352294527878</v>
      </c>
      <c r="BJ44" s="161">
        <f t="shared" ca="1" si="28"/>
        <v>-5.0993928819619789</v>
      </c>
      <c r="BK44" s="9"/>
      <c r="BL44" s="13">
        <f>[1]!srRng2E($C$13,BL$11-$V44)</f>
        <v>11.008884428088178</v>
      </c>
      <c r="BM44" s="372">
        <f>[2]!e5adE_ICs(BL44,$C$14,$C$15,$C$21,$AD44,$AC44,$C$33,$C$34)*$C$7</f>
        <v>11.337510118325614</v>
      </c>
      <c r="BN44" s="161">
        <f t="shared" ca="1" si="29"/>
        <v>-7.155939910494979</v>
      </c>
      <c r="BO44" s="9"/>
      <c r="BP44" s="124">
        <f t="shared" si="30"/>
        <v>0</v>
      </c>
      <c r="BQ44" s="124">
        <f t="shared" si="31"/>
        <v>0</v>
      </c>
      <c r="BR44" s="124">
        <f t="shared" si="32"/>
        <v>3.7831549853948898</v>
      </c>
      <c r="BS44" s="124">
        <f t="shared" si="33"/>
        <v>10.297352294527878</v>
      </c>
      <c r="BT44" s="123">
        <f t="shared" si="34"/>
        <v>11.337510118325614</v>
      </c>
      <c r="BU44" s="9"/>
      <c r="BV44" s="124">
        <f t="shared" ca="1" si="35"/>
        <v>3.3000450137294064</v>
      </c>
      <c r="BW44" s="124">
        <f t="shared" ca="1" si="36"/>
        <v>4.4188645326785432</v>
      </c>
      <c r="BX44" s="124">
        <f t="shared" ca="1" si="5"/>
        <v>1.5538629611235368</v>
      </c>
      <c r="BY44" s="124">
        <f t="shared" ca="1" si="37"/>
        <v>-5.0993928819619789</v>
      </c>
      <c r="BZ44" s="123">
        <f t="shared" ca="1" si="38"/>
        <v>-7.155939910494979</v>
      </c>
      <c r="CA44" s="142"/>
    </row>
    <row r="45" spans="2:79">
      <c r="D45" s="51"/>
      <c r="E45" s="51"/>
      <c r="F45" s="124">
        <f t="shared" si="6"/>
        <v>899.06</v>
      </c>
      <c r="G45" s="498" t="s">
        <v>269</v>
      </c>
      <c r="H45" s="233">
        <v>28</v>
      </c>
      <c r="I45" s="297"/>
      <c r="J45" s="343" t="str">
        <f t="shared" si="7"/>
        <v>1</v>
      </c>
      <c r="K45" s="343" t="str">
        <f t="shared" si="8"/>
        <v>0</v>
      </c>
      <c r="L45" s="343" t="str">
        <f t="shared" si="9"/>
        <v>0</v>
      </c>
      <c r="M45" s="343" t="str">
        <f t="shared" si="10"/>
        <v>0</v>
      </c>
      <c r="N45" s="343" t="str">
        <f t="shared" si="11"/>
        <v>5</v>
      </c>
      <c r="O45" s="343" t="str">
        <f t="shared" si="12"/>
        <v>6</v>
      </c>
      <c r="P45" s="343" t="str">
        <f t="shared" si="13"/>
        <v>7</v>
      </c>
      <c r="Q45" s="343" t="str">
        <f t="shared" si="14"/>
        <v>8</v>
      </c>
      <c r="R45" s="343" t="str">
        <f t="shared" si="15"/>
        <v>0</v>
      </c>
      <c r="S45" s="343" t="str">
        <f t="shared" si="16"/>
        <v>A</v>
      </c>
      <c r="T45" s="343" t="str">
        <f t="shared" si="17"/>
        <v>0</v>
      </c>
      <c r="U45" s="343" t="str">
        <f t="shared" si="18"/>
        <v>0</v>
      </c>
      <c r="V45" s="46">
        <f>[2]!e5aEDthkI(ThEDtbl,J45:U45)</f>
        <v>899.06</v>
      </c>
      <c r="W45" s="445"/>
      <c r="X45" s="446"/>
      <c r="Y45" s="447">
        <v>1.9230000000000001E-6</v>
      </c>
      <c r="Z45" s="448">
        <v>4.4120000000000001E-8</v>
      </c>
      <c r="AA45" s="448">
        <v>1.1339999999999999E-8</v>
      </c>
      <c r="AB45" s="448">
        <v>3.3799999999999999E-9</v>
      </c>
      <c r="AC45" s="449">
        <v>27.7</v>
      </c>
      <c r="AD45" s="450">
        <v>1008</v>
      </c>
      <c r="AE45" s="46"/>
      <c r="AF45" s="391">
        <f t="shared" si="19"/>
        <v>0.99578921548587562</v>
      </c>
      <c r="AG45" s="391">
        <f t="shared" si="1"/>
        <v>2.2846708365697781E-2</v>
      </c>
      <c r="AH45" s="344">
        <f t="shared" si="20"/>
        <v>88.940000000000055</v>
      </c>
      <c r="AI45" s="418">
        <f>[1]!srRng2E($C$13,AH45)</f>
        <v>9.765227930252566</v>
      </c>
      <c r="AJ45" s="124">
        <f>[1]!srE2Rng($C$14,AI45)/1000</f>
        <v>168.530985221675</v>
      </c>
      <c r="AK45" s="161">
        <f>[1]!srEnewGas($C$14,AI45,$C$21,$AD45*100,$AC45)</f>
        <v>0.12790330425089971</v>
      </c>
      <c r="AL45" s="161">
        <f>[1]!srE2LETt($C$12,AK45,0)</f>
        <v>16.221806025174185</v>
      </c>
      <c r="AM45" s="161">
        <f>[1]!srEnew($C$15,AK45,$C$33)</f>
        <v>3.1490556782212589E-2</v>
      </c>
      <c r="AN45" s="161">
        <f>[1]!srE2LETt($C$14,AM45,0)</f>
        <v>7.8763627844199782</v>
      </c>
      <c r="AO45" s="161">
        <f>[1]!srEnewGas($C$14,AM45,$C$34,AD45*100,AC45)</f>
        <v>1.0717018554559981E-2</v>
      </c>
      <c r="AP45" s="372">
        <f t="shared" si="21"/>
        <v>1.744977211122819</v>
      </c>
      <c r="AQ45" s="252">
        <f t="shared" ca="1" si="22"/>
        <v>2.4693359023187473</v>
      </c>
      <c r="AR45" s="349">
        <f t="shared" ca="1" si="23"/>
        <v>1.0269146140902166</v>
      </c>
      <c r="AS45" s="252">
        <f t="shared" ca="1" si="24"/>
        <v>0.72435869119592833</v>
      </c>
      <c r="AT45" s="419">
        <f t="shared" si="2"/>
        <v>1.1387952212825353E-8</v>
      </c>
      <c r="AU45" s="349">
        <f t="shared" ca="1" si="3"/>
        <v>2.5324130912086993</v>
      </c>
      <c r="AV45" s="349">
        <f t="shared" ca="1" si="25"/>
        <v>1.0058362286713911</v>
      </c>
      <c r="AW45" s="161">
        <f t="shared" ca="1" si="4"/>
        <v>0.78743588008588028</v>
      </c>
      <c r="AX45" s="9"/>
      <c r="AY45" s="9"/>
      <c r="AZ45" s="13">
        <f>[1]!srRng2E($C$13,AZ$11-$V45)</f>
        <v>8.7503595053206844</v>
      </c>
      <c r="BA45" s="372">
        <f>[2]!e5adE_ICs(AZ45,$C$14,$C$15,$C$21,$AD45,$AC45,$C$33,$C$34)*$C$7</f>
        <v>0</v>
      </c>
      <c r="BB45" s="161">
        <f t="shared" ca="1" si="26"/>
        <v>0.91120510745451133</v>
      </c>
      <c r="BC45" s="9"/>
      <c r="BD45" s="13">
        <f>[1]!srRng2E($C$13,BD$11-$V45)</f>
        <v>9.2639385348617509</v>
      </c>
      <c r="BE45" s="372">
        <f>[2]!e5adE_ICs(BD45,$C$14,$C$15,$C$21,$AD45,$AC45,$C$33,$C$34)*$C$7</f>
        <v>0</v>
      </c>
      <c r="BF45" s="161">
        <f t="shared" ca="1" si="27"/>
        <v>1.7011488610051202</v>
      </c>
      <c r="BG45" s="9"/>
      <c r="BH45" s="13">
        <f>[1]!srRng2E($C$13,BH$11-$V45)</f>
        <v>10.253929157870049</v>
      </c>
      <c r="BI45" s="372">
        <f>[2]!e5adE_ICs(BH45,$C$14,$C$15,$C$21,$AD45,$AC45,$C$33,$C$34)*$C$7</f>
        <v>7.1202710392508166</v>
      </c>
      <c r="BJ45" s="161">
        <f t="shared" ca="1" si="28"/>
        <v>-4.5397956506805972</v>
      </c>
      <c r="BK45" s="9"/>
      <c r="BL45" s="13">
        <f>[1]!srRng2E($C$13,BL$11-$V45)</f>
        <v>10.741236385264493</v>
      </c>
      <c r="BM45" s="372">
        <f>[2]!e5adE_ICs(BL45,$C$14,$C$15,$C$21,$AD45,$AC45,$C$33,$C$34)*$C$7</f>
        <v>11.132994874199023</v>
      </c>
      <c r="BN45" s="161">
        <f t="shared" ca="1" si="29"/>
        <v>-9.2195758912197014</v>
      </c>
      <c r="BO45" s="9"/>
      <c r="BP45" s="124">
        <f t="shared" si="30"/>
        <v>0</v>
      </c>
      <c r="BQ45" s="124">
        <f t="shared" si="31"/>
        <v>0</v>
      </c>
      <c r="BR45" s="124">
        <f t="shared" si="32"/>
        <v>1.744977211122819</v>
      </c>
      <c r="BS45" s="124">
        <f t="shared" si="33"/>
        <v>7.1202710392508166</v>
      </c>
      <c r="BT45" s="123">
        <f t="shared" si="34"/>
        <v>11.132994874199023</v>
      </c>
      <c r="BU45" s="9"/>
      <c r="BV45" s="124">
        <f t="shared" ca="1" si="35"/>
        <v>0.91120510745451133</v>
      </c>
      <c r="BW45" s="124">
        <f t="shared" ca="1" si="36"/>
        <v>1.7011488610051202</v>
      </c>
      <c r="BX45" s="124">
        <f t="shared" ca="1" si="5"/>
        <v>0.78743588008588028</v>
      </c>
      <c r="BY45" s="124">
        <f t="shared" ca="1" si="37"/>
        <v>-4.5397956506805972</v>
      </c>
      <c r="BZ45" s="123">
        <f t="shared" ca="1" si="38"/>
        <v>-9.2195758912197014</v>
      </c>
      <c r="CA45" s="142"/>
    </row>
    <row r="46" spans="2:79">
      <c r="D46" s="9"/>
      <c r="E46" s="51"/>
      <c r="F46" s="124">
        <f t="shared" si="6"/>
        <v>901.66</v>
      </c>
      <c r="G46" s="498" t="s">
        <v>270</v>
      </c>
      <c r="H46" s="233">
        <v>28</v>
      </c>
      <c r="I46" s="297"/>
      <c r="J46" s="343" t="str">
        <f t="shared" si="7"/>
        <v>0</v>
      </c>
      <c r="K46" s="343" t="str">
        <f t="shared" si="8"/>
        <v>2</v>
      </c>
      <c r="L46" s="343" t="str">
        <f t="shared" si="9"/>
        <v>0</v>
      </c>
      <c r="M46" s="343" t="str">
        <f t="shared" si="10"/>
        <v>0</v>
      </c>
      <c r="N46" s="343" t="str">
        <f t="shared" si="11"/>
        <v>5</v>
      </c>
      <c r="O46" s="343" t="str">
        <f t="shared" si="12"/>
        <v>6</v>
      </c>
      <c r="P46" s="343" t="str">
        <f t="shared" si="13"/>
        <v>7</v>
      </c>
      <c r="Q46" s="343" t="str">
        <f t="shared" si="14"/>
        <v>8</v>
      </c>
      <c r="R46" s="343" t="str">
        <f t="shared" si="15"/>
        <v>0</v>
      </c>
      <c r="S46" s="343" t="str">
        <f t="shared" si="16"/>
        <v>A</v>
      </c>
      <c r="T46" s="343" t="str">
        <f t="shared" si="17"/>
        <v>0</v>
      </c>
      <c r="U46" s="343" t="str">
        <f t="shared" si="18"/>
        <v>0</v>
      </c>
      <c r="V46" s="46">
        <f>[2]!e5aEDthkI(ThEDtbl,J46:U46)</f>
        <v>901.66</v>
      </c>
      <c r="W46" s="445"/>
      <c r="X46" s="446"/>
      <c r="Y46" s="447">
        <v>1.9290000000000001E-6</v>
      </c>
      <c r="Z46" s="448">
        <v>7.8230000000000006E-8</v>
      </c>
      <c r="AA46" s="448">
        <v>7.8179999999999993E-9</v>
      </c>
      <c r="AB46" s="448">
        <v>4.7200000000000002E-10</v>
      </c>
      <c r="AC46" s="449">
        <v>27.7</v>
      </c>
      <c r="AD46" s="450">
        <v>1008</v>
      </c>
      <c r="AE46" s="46"/>
      <c r="AF46" s="391">
        <f t="shared" ref="AF46:AF52" si="39">Y46/Y$9</f>
        <v>0.99889620211765684</v>
      </c>
      <c r="AG46" s="391">
        <f t="shared" ref="AG46:AG52" si="40">Z46/Y$9</f>
        <v>4.0509927367373924E-2</v>
      </c>
      <c r="AH46" s="344">
        <f t="shared" si="20"/>
        <v>86.340000000000032</v>
      </c>
      <c r="AI46" s="418">
        <f>[1]!srRng2E($C$13,AH46)</f>
        <v>9.5104564690414595</v>
      </c>
      <c r="AJ46" s="124">
        <f>[1]!srE2Rng($C$14,AI46)/1000</f>
        <v>163.56177739430549</v>
      </c>
      <c r="AK46" s="161">
        <f>[1]!srEnewGas($C$14,AI46,$C$21,$AD46*100,$AC46)</f>
        <v>3.9903936012237066E-2</v>
      </c>
      <c r="AL46" s="161">
        <f>[1]!srE2LETt($C$12,AK46,0)</f>
        <v>8.9812179275378501</v>
      </c>
      <c r="AM46" s="161">
        <f>[1]!srEnew($C$15,AK46,$C$33)</f>
        <v>0</v>
      </c>
      <c r="AN46" s="161" t="e">
        <f>[1]!srE2LETt($C$14,AM46,0)</f>
        <v>#N/A</v>
      </c>
      <c r="AO46" s="161">
        <f>[1]!srEnewGas($C$14,AM46,$C$34,AD46*100,AC46)</f>
        <v>0</v>
      </c>
      <c r="AP46" s="372">
        <f t="shared" ref="AP46:AP52" si="41">(AM46-AO46)*$C$7</f>
        <v>0</v>
      </c>
      <c r="AQ46" s="252">
        <f t="shared" ref="AQ46:AQ52" ca="1" si="42">$AQ$5*(AA46-$AQ$6)</f>
        <v>1.3992787216010718</v>
      </c>
      <c r="AR46" s="349">
        <f t="shared" ref="AR46:AR52" ca="1" si="43">$AQ$5*AB46</f>
        <v>0.14340346090253911</v>
      </c>
      <c r="AS46" s="252">
        <f t="shared" ref="AS46:AS52" ca="1" si="44">AQ46-AP46</f>
        <v>1.3992787216010718</v>
      </c>
      <c r="AT46" s="419">
        <f t="shared" ref="AT46:AT52" si="45">AA46/Y46*AT$9</f>
        <v>7.8266390275845116E-9</v>
      </c>
      <c r="AU46" s="349">
        <f t="shared" ref="AU46:AU52" ca="1" si="46">$AT$5*(AT46-$AT$6)</f>
        <v>1.4726208357766439</v>
      </c>
      <c r="AV46" s="349">
        <f t="shared" ref="AV46:AV52" ca="1" si="47">$AT$5*AB46</f>
        <v>0.14045997039434813</v>
      </c>
      <c r="AW46" s="161">
        <f t="shared" ref="AW46:AW52" ca="1" si="48">AU46-AP46</f>
        <v>1.4726208357766439</v>
      </c>
      <c r="AX46" s="9"/>
      <c r="AY46" s="9"/>
      <c r="AZ46" s="13">
        <f>[1]!srRng2E($C$13,AZ$11-$V46)</f>
        <v>8.4832984099593283</v>
      </c>
      <c r="BA46" s="372">
        <f>[2]!e5adE_ICs(AZ46,$C$14,$C$15,$C$21,$AD46,$AC46,$C$33,$C$34)*$C$7</f>
        <v>0</v>
      </c>
      <c r="BB46" s="161">
        <f t="shared" ref="BB46:BB52" ca="1" si="49">BA$5*($AT46-BA$6)-BA46</f>
        <v>8.5203576423723525E-3</v>
      </c>
      <c r="BC46" s="9"/>
      <c r="BD46" s="13">
        <f>[1]!srRng2E($C$13,BD$11-$V46)</f>
        <v>8.9968774395003948</v>
      </c>
      <c r="BE46" s="372">
        <f>[2]!e5adE_ICs(BD46,$C$14,$C$15,$C$21,$AD46,$AC46,$C$33,$C$34)*$C$7</f>
        <v>0</v>
      </c>
      <c r="BF46" s="161">
        <f t="shared" ref="BF46:BF52" ca="1" si="50">BE$5*($AT46-BE$6)-BE46</f>
        <v>0.67418992386538412</v>
      </c>
      <c r="BG46" s="9"/>
      <c r="BH46" s="13">
        <f>[1]!srRng2E($C$13,BH$11-$V46)</f>
        <v>9.999804519508956</v>
      </c>
      <c r="BI46" s="372">
        <f>[2]!e5adE_ICs(BH46,$C$14,$C$15,$C$21,$AD46,$AC46,$C$33,$C$34)*$C$7</f>
        <v>3.2236442220917403</v>
      </c>
      <c r="BJ46" s="161">
        <f t="shared" ref="BJ46:BJ52" ca="1" si="51">BI$5*($AT46-BI$6)-BI46</f>
        <v>-1.6322526583234309</v>
      </c>
      <c r="BK46" s="9"/>
      <c r="BL46" s="13">
        <f>[1]!srRng2E($C$13,BL$11-$V46)</f>
        <v>10.488505747126439</v>
      </c>
      <c r="BM46" s="372">
        <f>[2]!e5adE_ICs(BL46,$C$14,$C$15,$C$21,$AD46,$AC46,$C$33,$C$34)*$C$7</f>
        <v>9.9642398181023175</v>
      </c>
      <c r="BN46" s="161">
        <f t="shared" ref="BN46:BN52" ca="1" si="52">BM$5*($AT46-BM$6)-BM46</f>
        <v>-8.9079002549547397</v>
      </c>
      <c r="BO46" s="9"/>
      <c r="BP46" s="124">
        <f t="shared" si="30"/>
        <v>0</v>
      </c>
      <c r="BQ46" s="124">
        <f t="shared" si="31"/>
        <v>0</v>
      </c>
      <c r="BR46" s="124">
        <f t="shared" si="32"/>
        <v>0</v>
      </c>
      <c r="BS46" s="124">
        <f t="shared" si="33"/>
        <v>3.2236442220917403</v>
      </c>
      <c r="BT46" s="123">
        <f t="shared" si="34"/>
        <v>9.9642398181023175</v>
      </c>
      <c r="BU46" s="9"/>
      <c r="BV46" s="124">
        <f t="shared" ca="1" si="35"/>
        <v>8.5203576423723525E-3</v>
      </c>
      <c r="BW46" s="124">
        <f t="shared" ca="1" si="36"/>
        <v>0.67418992386538412</v>
      </c>
      <c r="BX46" s="124">
        <f t="shared" ca="1" si="5"/>
        <v>1.4726208357766439</v>
      </c>
      <c r="BY46" s="124">
        <f t="shared" ca="1" si="37"/>
        <v>-1.6322526583234309</v>
      </c>
      <c r="BZ46" s="123">
        <f t="shared" ca="1" si="38"/>
        <v>-8.9079002549547397</v>
      </c>
      <c r="CA46" s="142"/>
    </row>
    <row r="47" spans="2:79">
      <c r="D47" s="9"/>
      <c r="E47" s="51"/>
      <c r="F47" s="123">
        <f t="shared" si="6"/>
        <v>906.37999999999988</v>
      </c>
      <c r="G47" s="260" t="s">
        <v>271</v>
      </c>
      <c r="H47" s="444">
        <v>28</v>
      </c>
      <c r="I47" s="298"/>
      <c r="J47" s="343" t="str">
        <f t="shared" si="7"/>
        <v>1</v>
      </c>
      <c r="K47" s="343" t="str">
        <f t="shared" si="8"/>
        <v>2</v>
      </c>
      <c r="L47" s="343" t="str">
        <f t="shared" si="9"/>
        <v>0</v>
      </c>
      <c r="M47" s="343" t="str">
        <f t="shared" si="10"/>
        <v>0</v>
      </c>
      <c r="N47" s="343" t="str">
        <f t="shared" si="11"/>
        <v>5</v>
      </c>
      <c r="O47" s="343" t="str">
        <f t="shared" si="12"/>
        <v>6</v>
      </c>
      <c r="P47" s="343" t="str">
        <f t="shared" si="13"/>
        <v>7</v>
      </c>
      <c r="Q47" s="343" t="str">
        <f t="shared" si="14"/>
        <v>8</v>
      </c>
      <c r="R47" s="343" t="str">
        <f t="shared" si="15"/>
        <v>0</v>
      </c>
      <c r="S47" s="343" t="str">
        <f t="shared" si="16"/>
        <v>0</v>
      </c>
      <c r="T47" s="343" t="str">
        <f t="shared" si="17"/>
        <v>0</v>
      </c>
      <c r="U47" s="343" t="str">
        <f t="shared" si="18"/>
        <v>0</v>
      </c>
      <c r="V47" s="46">
        <f>[2]!e5aEDthkI(ThEDtbl,J47:U47)</f>
        <v>906.37999999999988</v>
      </c>
      <c r="W47" s="46"/>
      <c r="X47" s="177"/>
      <c r="Y47" s="381">
        <v>1.911E-6</v>
      </c>
      <c r="Z47" s="257">
        <v>4.252E-8</v>
      </c>
      <c r="AA47" s="257">
        <v>2.555E-9</v>
      </c>
      <c r="AB47" s="257">
        <v>5.7340000000000001E-10</v>
      </c>
      <c r="AC47" s="251">
        <v>27.7</v>
      </c>
      <c r="AD47" s="382">
        <v>1008</v>
      </c>
      <c r="AE47" s="46"/>
      <c r="AF47" s="391">
        <f t="shared" si="39"/>
        <v>0.98957524222231319</v>
      </c>
      <c r="AG47" s="391">
        <f t="shared" si="40"/>
        <v>2.2018178597222791E-2</v>
      </c>
      <c r="AH47" s="344">
        <f t="shared" si="20"/>
        <v>81.620000000000118</v>
      </c>
      <c r="AI47" s="418">
        <f>[1]!srRng2E($C$13,AH47)</f>
        <v>9.0256378651547031</v>
      </c>
      <c r="AJ47" s="124">
        <f>[1]!srE2Rng($C$14,AI47)/1000</f>
        <v>154.5493874029338</v>
      </c>
      <c r="AK47" s="252">
        <f>[1]!srEnewGas($C$14,AI47,$C$21,$AD47*100,$AC47)</f>
        <v>0</v>
      </c>
      <c r="AL47" s="252" t="e">
        <f>[1]!srE2LETt($C$12,AK47,0)</f>
        <v>#N/A</v>
      </c>
      <c r="AM47" s="252">
        <f>[1]!srEnew($C$15,AK47,$C$33)</f>
        <v>0</v>
      </c>
      <c r="AN47" s="252" t="e">
        <f>[1]!srE2LETt($C$14,AM47,0)</f>
        <v>#N/A</v>
      </c>
      <c r="AO47" s="161">
        <f>[1]!srEnewGas($C$14,AM47,$C$34,AD47*100,AC47)</f>
        <v>0</v>
      </c>
      <c r="AP47" s="372">
        <f t="shared" si="41"/>
        <v>0</v>
      </c>
      <c r="AQ47" s="252">
        <f t="shared" ca="1" si="42"/>
        <v>-0.19973063164058766</v>
      </c>
      <c r="AR47" s="349">
        <f t="shared" ca="1" si="43"/>
        <v>0.17421089932524561</v>
      </c>
      <c r="AS47" s="252">
        <f t="shared" ca="1" si="44"/>
        <v>-0.19973063164058766</v>
      </c>
      <c r="AT47" s="419">
        <f t="shared" si="45"/>
        <v>2.5819158473105836E-9</v>
      </c>
      <c r="AU47" s="349">
        <f t="shared" ca="1" si="46"/>
        <v>-8.8128449451803717E-2</v>
      </c>
      <c r="AV47" s="349">
        <f t="shared" ca="1" si="47"/>
        <v>0.17063505725448985</v>
      </c>
      <c r="AW47" s="161">
        <f t="shared" ca="1" si="48"/>
        <v>-8.8128449451803717E-2</v>
      </c>
      <c r="AX47" s="9"/>
      <c r="AY47" s="9"/>
      <c r="AZ47" s="13">
        <f>[1]!srRng2E($C$13,AZ$11-$V47)</f>
        <v>7.9855777436422732</v>
      </c>
      <c r="BA47" s="372">
        <f>[2]!e5adE_ICs(AZ47,$C$14,$C$15,$C$21,$AD47,$AC47,$C$33,$C$34)*$C$7</f>
        <v>0</v>
      </c>
      <c r="BB47" s="161">
        <f t="shared" ca="1" si="49"/>
        <v>-1.3208577075724475</v>
      </c>
      <c r="BC47" s="9"/>
      <c r="BD47" s="13">
        <f>[1]!srRng2E($C$13,BD$11-$V47)</f>
        <v>8.5120588356136366</v>
      </c>
      <c r="BE47" s="372">
        <f>[2]!e5adE_ICs(BD47,$C$14,$C$15,$C$21,$AD47,$AC47,$C$33,$C$34)*$C$7</f>
        <v>0</v>
      </c>
      <c r="BF47" s="161">
        <f t="shared" ca="1" si="50"/>
        <v>-0.83820594323440945</v>
      </c>
      <c r="BG47" s="9"/>
      <c r="BH47" s="13">
        <f>[1]!srRng2E($C$13,BH$11-$V47)</f>
        <v>9.5384705606380606</v>
      </c>
      <c r="BI47" s="372">
        <f>[2]!e5adE_ICs(BH47,$C$14,$C$15,$C$21,$AD47,$AC47,$C$33,$C$34)*$C$7</f>
        <v>0</v>
      </c>
      <c r="BJ47" s="161">
        <f t="shared" ca="1" si="51"/>
        <v>0.13477413268389266</v>
      </c>
      <c r="BK47" s="9"/>
      <c r="BL47" s="13">
        <f>[1]!srRng2E($C$13,BL$11-$V47)</f>
        <v>10.027171788255544</v>
      </c>
      <c r="BM47" s="372">
        <f>[2]!e5adE_ICs(BL47,$C$14,$C$15,$C$21,$AD47,$AC47,$C$33,$C$34)*$C$7</f>
        <v>3.5238403057926169</v>
      </c>
      <c r="BN47" s="161">
        <f t="shared" ca="1" si="52"/>
        <v>-3.7297161296984758</v>
      </c>
      <c r="BO47" s="9"/>
      <c r="BP47" s="124">
        <f t="shared" si="30"/>
        <v>0</v>
      </c>
      <c r="BQ47" s="124">
        <f t="shared" si="31"/>
        <v>0</v>
      </c>
      <c r="BR47" s="124">
        <f t="shared" si="32"/>
        <v>0</v>
      </c>
      <c r="BS47" s="124">
        <f t="shared" si="33"/>
        <v>0</v>
      </c>
      <c r="BT47" s="123">
        <f t="shared" si="34"/>
        <v>3.5238403057926169</v>
      </c>
      <c r="BU47" s="9"/>
      <c r="BV47" s="124">
        <f t="shared" ca="1" si="35"/>
        <v>-1.3208577075724475</v>
      </c>
      <c r="BW47" s="124">
        <f t="shared" ca="1" si="36"/>
        <v>-0.83820594323440945</v>
      </c>
      <c r="BX47" s="124">
        <f t="shared" ca="1" si="5"/>
        <v>-8.8128449451803717E-2</v>
      </c>
      <c r="BY47" s="124">
        <f t="shared" ca="1" si="37"/>
        <v>0.13477413268389266</v>
      </c>
      <c r="BZ47" s="123">
        <f t="shared" ca="1" si="38"/>
        <v>-3.7297161296984758</v>
      </c>
      <c r="CA47" s="142"/>
    </row>
    <row r="48" spans="2:79">
      <c r="B48" s="9"/>
      <c r="C48" s="385"/>
      <c r="D48" s="9"/>
      <c r="E48" s="51"/>
      <c r="F48" s="123">
        <f t="shared" si="6"/>
        <v>911.8599999999999</v>
      </c>
      <c r="G48" s="260" t="s">
        <v>272</v>
      </c>
      <c r="H48" s="444">
        <v>28</v>
      </c>
      <c r="I48" s="298"/>
      <c r="J48" s="343" t="str">
        <f t="shared" si="7"/>
        <v>1</v>
      </c>
      <c r="K48" s="343" t="str">
        <f t="shared" si="8"/>
        <v>2</v>
      </c>
      <c r="L48" s="343" t="str">
        <f t="shared" si="9"/>
        <v>0</v>
      </c>
      <c r="M48" s="343" t="str">
        <f t="shared" si="10"/>
        <v>0</v>
      </c>
      <c r="N48" s="343" t="str">
        <f t="shared" si="11"/>
        <v>5</v>
      </c>
      <c r="O48" s="343" t="str">
        <f t="shared" si="12"/>
        <v>6</v>
      </c>
      <c r="P48" s="343" t="str">
        <f t="shared" si="13"/>
        <v>7</v>
      </c>
      <c r="Q48" s="343" t="str">
        <f t="shared" si="14"/>
        <v>8</v>
      </c>
      <c r="R48" s="343" t="str">
        <f t="shared" si="15"/>
        <v>0</v>
      </c>
      <c r="S48" s="343" t="str">
        <f t="shared" si="16"/>
        <v>A</v>
      </c>
      <c r="T48" s="343" t="str">
        <f t="shared" si="17"/>
        <v>0</v>
      </c>
      <c r="U48" s="343" t="str">
        <f t="shared" si="18"/>
        <v>0</v>
      </c>
      <c r="V48" s="46">
        <f>[2]!e5aEDthkI(ThEDtbl,J48:U48)</f>
        <v>911.8599999999999</v>
      </c>
      <c r="W48" s="46"/>
      <c r="X48" s="177"/>
      <c r="Y48" s="381">
        <v>1.939E-6</v>
      </c>
      <c r="Z48" s="257">
        <v>6.9709999999999994E-8</v>
      </c>
      <c r="AA48" s="257">
        <v>1.1410000000000001E-9</v>
      </c>
      <c r="AB48" s="257">
        <v>2.69E-10</v>
      </c>
      <c r="AC48" s="251">
        <v>27.7</v>
      </c>
      <c r="AD48" s="382">
        <v>1008</v>
      </c>
      <c r="AE48" s="46"/>
      <c r="AF48" s="391">
        <f t="shared" si="39"/>
        <v>1.0040745131706255</v>
      </c>
      <c r="AG48" s="391">
        <f t="shared" si="40"/>
        <v>3.6098006350244606E-2</v>
      </c>
      <c r="AH48" s="344">
        <f t="shared" si="20"/>
        <v>76.1400000000001</v>
      </c>
      <c r="AI48" s="418">
        <f>[1]!srRng2E($C$13,AH48)</f>
        <v>8.4627552487776931</v>
      </c>
      <c r="AJ48" s="124">
        <f>[1]!srE2Rng($C$14,AI48)/1000</f>
        <v>144.08584987057827</v>
      </c>
      <c r="AK48" s="252">
        <f>[1]!srEnewGas($C$14,AI48,$C$21,$AD48*100,$AC48)</f>
        <v>0</v>
      </c>
      <c r="AL48" s="252" t="e">
        <f>[1]!srE2LETt($C$12,AK48,0)</f>
        <v>#N/A</v>
      </c>
      <c r="AM48" s="252">
        <f>[1]!srEnew($C$15,AK48,$C$33)</f>
        <v>0</v>
      </c>
      <c r="AN48" s="252" t="e">
        <f>[1]!srE2LETt($C$14,AM48,0)</f>
        <v>#N/A</v>
      </c>
      <c r="AO48" s="161">
        <f>[1]!srEnewGas($C$14,AM48,$C$34,AD48*100,AC48)</f>
        <v>0</v>
      </c>
      <c r="AP48" s="372">
        <f t="shared" si="41"/>
        <v>0</v>
      </c>
      <c r="AQ48" s="252">
        <f t="shared" ca="1" si="42"/>
        <v>-0.62933337256471966</v>
      </c>
      <c r="AR48" s="349">
        <f t="shared" ca="1" si="43"/>
        <v>8.1727819878777586E-2</v>
      </c>
      <c r="AS48" s="252">
        <f t="shared" ca="1" si="44"/>
        <v>-0.62933337256471966</v>
      </c>
      <c r="AT48" s="419">
        <f t="shared" si="45"/>
        <v>1.1363698460953829E-9</v>
      </c>
      <c r="AU48" s="349">
        <f t="shared" ca="1" si="46"/>
        <v>-0.51830079804153972</v>
      </c>
      <c r="AV48" s="349">
        <f t="shared" ca="1" si="47"/>
        <v>8.0050279737456875E-2</v>
      </c>
      <c r="AW48" s="161">
        <f t="shared" ca="1" si="48"/>
        <v>-0.51830079804153972</v>
      </c>
      <c r="AX48" s="9"/>
      <c r="AY48" s="9"/>
      <c r="AZ48" s="13">
        <f>[1]!srRng2E($C$13,AZ$11-$V48)</f>
        <v>7.3916951679382734</v>
      </c>
      <c r="BA48" s="372">
        <f>[2]!e5adE_ICs(AZ48,$C$14,$C$15,$C$21,$AD48,$AC48,$C$33,$C$34)*$C$7</f>
        <v>0</v>
      </c>
      <c r="BB48" s="161">
        <f t="shared" ca="1" si="49"/>
        <v>-1.6872597235076554</v>
      </c>
      <c r="BC48" s="9"/>
      <c r="BD48" s="13">
        <f>[1]!srRng2E($C$13,BD$11-$V48)</f>
        <v>7.9343744666325424</v>
      </c>
      <c r="BE48" s="372">
        <f>[2]!e5adE_ICs(BD48,$C$14,$C$15,$C$21,$AD48,$AC48,$C$33,$C$34)*$C$7</f>
        <v>0</v>
      </c>
      <c r="BF48" s="161">
        <f t="shared" ca="1" si="50"/>
        <v>-1.2550511651449234</v>
      </c>
      <c r="BG48" s="9"/>
      <c r="BH48" s="13">
        <f>[1]!srRng2E($C$13,BH$11-$V48)</f>
        <v>8.9763342783187579</v>
      </c>
      <c r="BI48" s="372">
        <f>[2]!e5adE_ICs(BH48,$C$14,$C$15,$C$21,$AD48,$AC48,$C$33,$C$34)*$C$7</f>
        <v>0</v>
      </c>
      <c r="BJ48" s="161">
        <f t="shared" ca="1" si="51"/>
        <v>-0.26669748563218831</v>
      </c>
      <c r="BK48" s="9"/>
      <c r="BL48" s="13">
        <f>[1]!srRng2E($C$13,BL$11-$V48)</f>
        <v>9.4899133078598243</v>
      </c>
      <c r="BM48" s="372">
        <f>[2]!e5adE_ICs(BL48,$C$14,$C$15,$C$21,$AD48,$AC48,$C$33,$C$34)*$C$7</f>
        <v>0</v>
      </c>
      <c r="BN48" s="161">
        <f t="shared" ca="1" si="52"/>
        <v>-0.55376652141491123</v>
      </c>
      <c r="BO48" s="9"/>
      <c r="BP48" s="124">
        <f t="shared" si="30"/>
        <v>0</v>
      </c>
      <c r="BQ48" s="124">
        <f t="shared" si="31"/>
        <v>0</v>
      </c>
      <c r="BR48" s="124">
        <f t="shared" si="32"/>
        <v>0</v>
      </c>
      <c r="BS48" s="124">
        <f t="shared" si="33"/>
        <v>0</v>
      </c>
      <c r="BT48" s="123">
        <f t="shared" si="34"/>
        <v>0</v>
      </c>
      <c r="BU48" s="9"/>
      <c r="BV48" s="124">
        <f t="shared" ca="1" si="35"/>
        <v>-1.6872597235076554</v>
      </c>
      <c r="BW48" s="124">
        <f t="shared" ca="1" si="36"/>
        <v>-1.2550511651449234</v>
      </c>
      <c r="BX48" s="124">
        <f t="shared" ca="1" si="5"/>
        <v>-0.51830079804153972</v>
      </c>
      <c r="BY48" s="124">
        <f t="shared" ca="1" si="37"/>
        <v>-0.26669748563218831</v>
      </c>
      <c r="BZ48" s="123">
        <f t="shared" ca="1" si="38"/>
        <v>-0.55376652141491123</v>
      </c>
      <c r="CA48" s="142"/>
    </row>
    <row r="49" spans="2:79">
      <c r="B49" s="288"/>
      <c r="C49" s="9"/>
      <c r="D49" s="9"/>
      <c r="E49" s="9"/>
      <c r="F49" s="123">
        <f t="shared" si="6"/>
        <v>917.38</v>
      </c>
      <c r="G49" s="260" t="s">
        <v>273</v>
      </c>
      <c r="H49" s="444">
        <v>28</v>
      </c>
      <c r="I49" s="298"/>
      <c r="J49" s="343" t="str">
        <f t="shared" si="7"/>
        <v>1</v>
      </c>
      <c r="K49" s="343" t="str">
        <f t="shared" si="8"/>
        <v>0</v>
      </c>
      <c r="L49" s="343" t="str">
        <f t="shared" si="9"/>
        <v>3</v>
      </c>
      <c r="M49" s="343" t="str">
        <f t="shared" si="10"/>
        <v>0</v>
      </c>
      <c r="N49" s="343" t="str">
        <f t="shared" si="11"/>
        <v>5</v>
      </c>
      <c r="O49" s="343" t="str">
        <f t="shared" si="12"/>
        <v>6</v>
      </c>
      <c r="P49" s="343" t="str">
        <f t="shared" si="13"/>
        <v>7</v>
      </c>
      <c r="Q49" s="343" t="str">
        <f t="shared" si="14"/>
        <v>8</v>
      </c>
      <c r="R49" s="343" t="str">
        <f t="shared" si="15"/>
        <v>0</v>
      </c>
      <c r="S49" s="343" t="str">
        <f t="shared" si="16"/>
        <v>0</v>
      </c>
      <c r="T49" s="343" t="str">
        <f t="shared" si="17"/>
        <v>0</v>
      </c>
      <c r="U49" s="343" t="str">
        <f t="shared" si="18"/>
        <v>0</v>
      </c>
      <c r="V49" s="46">
        <f>[2]!e5aEDthkI(ThEDtbl,J49:U49)</f>
        <v>917.38</v>
      </c>
      <c r="W49" s="46"/>
      <c r="X49" s="177"/>
      <c r="Y49" s="381">
        <v>1.897E-6</v>
      </c>
      <c r="Z49" s="257">
        <v>5.7270000000000003E-8</v>
      </c>
      <c r="AA49" s="257">
        <v>6.7490000000000002E-10</v>
      </c>
      <c r="AB49" s="257">
        <v>2.678E-10</v>
      </c>
      <c r="AC49" s="251">
        <v>27.73</v>
      </c>
      <c r="AD49" s="382">
        <v>1008</v>
      </c>
      <c r="AE49" s="46"/>
      <c r="AF49" s="391">
        <f t="shared" si="39"/>
        <v>0.98232560674815705</v>
      </c>
      <c r="AG49" s="391">
        <f t="shared" si="40"/>
        <v>2.9656187400351586E-2</v>
      </c>
      <c r="AH49" s="344">
        <f t="shared" si="20"/>
        <v>70.62</v>
      </c>
      <c r="AI49" s="418">
        <f>[1]!srRng2E($C$13,AH49)</f>
        <v>7.8789042498719928</v>
      </c>
      <c r="AJ49" s="124">
        <f>[1]!srE2Rng($C$14,AI49)/1000</f>
        <v>133.54172043010755</v>
      </c>
      <c r="AK49" s="252">
        <f>[1]!srEnewGas($C$14,AI49,$C$21,$AD49*100,$AC49)</f>
        <v>0</v>
      </c>
      <c r="AL49" s="252" t="e">
        <f>[1]!srE2LETt($C$12,AK49,0)</f>
        <v>#N/A</v>
      </c>
      <c r="AM49" s="252">
        <f>[1]!srEnew($C$15,AK49,$C$33)</f>
        <v>0</v>
      </c>
      <c r="AN49" s="252" t="e">
        <f>[1]!srE2LETt($C$14,AM49,0)</f>
        <v>#N/A</v>
      </c>
      <c r="AO49" s="161">
        <f>[1]!srEnewGas($C$14,AM49,$C$34,AD49*100,AC49)</f>
        <v>0</v>
      </c>
      <c r="AP49" s="372">
        <f t="shared" si="41"/>
        <v>0</v>
      </c>
      <c r="AQ49" s="252">
        <f t="shared" ca="1" si="42"/>
        <v>-0.7709442902059771</v>
      </c>
      <c r="AR49" s="349">
        <f t="shared" ca="1" si="43"/>
        <v>8.1363234808686388E-2</v>
      </c>
      <c r="AS49" s="252">
        <f t="shared" ca="1" si="44"/>
        <v>-0.7709442902059771</v>
      </c>
      <c r="AT49" s="419">
        <f t="shared" si="45"/>
        <v>6.8704306938934039E-10</v>
      </c>
      <c r="AU49" s="349">
        <f t="shared" ca="1" si="46"/>
        <v>-0.65201356446848591</v>
      </c>
      <c r="AV49" s="349">
        <f t="shared" ca="1" si="47"/>
        <v>7.9693178117810223E-2</v>
      </c>
      <c r="AW49" s="161">
        <f t="shared" ca="1" si="48"/>
        <v>-0.65201356446848591</v>
      </c>
      <c r="AX49" s="9"/>
      <c r="AY49" s="9"/>
      <c r="AZ49" s="13">
        <f>[1]!srRng2E($C$13,AZ$11-$V49)</f>
        <v>6.777852650494161</v>
      </c>
      <c r="BA49" s="372">
        <f>[2]!e5adE_ICs(AZ49,$C$14,$C$15,$C$21,$AD49,$AC49,$C$33,$C$34)*$C$7</f>
        <v>0</v>
      </c>
      <c r="BB49" s="161">
        <f t="shared" ca="1" si="49"/>
        <v>-1.8011504171696786</v>
      </c>
      <c r="BC49" s="9"/>
      <c r="BD49" s="13">
        <f>[1]!srRng2E($C$13,BD$11-$V49)</f>
        <v>7.3346926247478743</v>
      </c>
      <c r="BE49" s="372">
        <f>[2]!e5adE_ICs(BD49,$C$14,$C$15,$C$21,$AD49,$AC49,$C$33,$C$34)*$C$7</f>
        <v>0</v>
      </c>
      <c r="BF49" s="161">
        <f t="shared" ca="1" si="50"/>
        <v>-1.3846213896752479</v>
      </c>
      <c r="BG49" s="9"/>
      <c r="BH49" s="13">
        <f>[1]!srRng2E($C$13,BH$11-$V49)</f>
        <v>8.409343029705413</v>
      </c>
      <c r="BI49" s="372">
        <f>[2]!e5adE_ICs(BH49,$C$14,$C$15,$C$21,$AD49,$AC49,$C$33,$C$34)*$C$7</f>
        <v>0</v>
      </c>
      <c r="BJ49" s="161">
        <f t="shared" ca="1" si="51"/>
        <v>-0.39148905092673891</v>
      </c>
      <c r="BK49" s="9"/>
      <c r="BL49" s="13">
        <f>[1]!srRng2E($C$13,BL$11-$V49)</f>
        <v>8.9229220592464777</v>
      </c>
      <c r="BM49" s="372">
        <f>[2]!e5adE_ICs(BL49,$C$14,$C$15,$C$21,$AD49,$AC49,$C$33,$C$34)*$C$7</f>
        <v>0</v>
      </c>
      <c r="BN49" s="161">
        <f t="shared" ca="1" si="52"/>
        <v>-0.66190324319778882</v>
      </c>
      <c r="BO49" s="9"/>
      <c r="BP49" s="124">
        <f t="shared" si="30"/>
        <v>0</v>
      </c>
      <c r="BQ49" s="124">
        <f t="shared" si="31"/>
        <v>0</v>
      </c>
      <c r="BR49" s="124">
        <f t="shared" si="32"/>
        <v>0</v>
      </c>
      <c r="BS49" s="124">
        <f t="shared" si="33"/>
        <v>0</v>
      </c>
      <c r="BT49" s="123">
        <f t="shared" si="34"/>
        <v>0</v>
      </c>
      <c r="BU49" s="9"/>
      <c r="BV49" s="124">
        <f t="shared" ca="1" si="35"/>
        <v>-1.8011504171696786</v>
      </c>
      <c r="BW49" s="124">
        <f t="shared" ca="1" si="36"/>
        <v>-1.3846213896752479</v>
      </c>
      <c r="BX49" s="124">
        <f t="shared" ca="1" si="5"/>
        <v>-0.65201356446848591</v>
      </c>
      <c r="BY49" s="124">
        <f t="shared" ca="1" si="37"/>
        <v>-0.39148905092673891</v>
      </c>
      <c r="BZ49" s="123">
        <f t="shared" ca="1" si="38"/>
        <v>-0.66190324319778882</v>
      </c>
      <c r="CA49" s="142"/>
    </row>
    <row r="50" spans="2:79">
      <c r="B50" s="5"/>
      <c r="C50" s="289"/>
      <c r="D50" s="5"/>
      <c r="E50" s="5"/>
      <c r="F50" s="123">
        <f t="shared" si="6"/>
        <v>919.98</v>
      </c>
      <c r="G50" s="260" t="s">
        <v>221</v>
      </c>
      <c r="H50" s="444">
        <v>28</v>
      </c>
      <c r="I50" s="298"/>
      <c r="J50" s="343" t="str">
        <f t="shared" si="7"/>
        <v>0</v>
      </c>
      <c r="K50" s="343" t="str">
        <f t="shared" si="8"/>
        <v>2</v>
      </c>
      <c r="L50" s="343" t="str">
        <f t="shared" si="9"/>
        <v>3</v>
      </c>
      <c r="M50" s="343" t="str">
        <f t="shared" si="10"/>
        <v>0</v>
      </c>
      <c r="N50" s="343" t="str">
        <f t="shared" si="11"/>
        <v>5</v>
      </c>
      <c r="O50" s="343" t="str">
        <f t="shared" si="12"/>
        <v>6</v>
      </c>
      <c r="P50" s="343" t="str">
        <f t="shared" si="13"/>
        <v>7</v>
      </c>
      <c r="Q50" s="343" t="str">
        <f t="shared" si="14"/>
        <v>8</v>
      </c>
      <c r="R50" s="343" t="str">
        <f t="shared" si="15"/>
        <v>0</v>
      </c>
      <c r="S50" s="343" t="str">
        <f t="shared" si="16"/>
        <v>0</v>
      </c>
      <c r="T50" s="343" t="str">
        <f t="shared" si="17"/>
        <v>0</v>
      </c>
      <c r="U50" s="343" t="str">
        <f t="shared" si="18"/>
        <v>0</v>
      </c>
      <c r="V50" s="46">
        <f>[2]!e5aEDthkI(ThEDtbl,J50:U50)</f>
        <v>919.98</v>
      </c>
      <c r="W50" s="46"/>
      <c r="X50" s="177"/>
      <c r="Y50" s="381">
        <v>1.9089999999999998E-6</v>
      </c>
      <c r="Z50" s="257">
        <v>7.1120000000000004E-8</v>
      </c>
      <c r="AA50" s="257">
        <v>6.0720000000000003E-10</v>
      </c>
      <c r="AB50" s="257">
        <v>2.8879999999999997E-10</v>
      </c>
      <c r="AC50" s="251">
        <v>27.66</v>
      </c>
      <c r="AD50" s="382">
        <v>1008</v>
      </c>
      <c r="AE50" s="46"/>
      <c r="AF50" s="391">
        <f t="shared" si="39"/>
        <v>0.98853958001171938</v>
      </c>
      <c r="AG50" s="391">
        <f t="shared" si="40"/>
        <v>3.6828148208713198E-2</v>
      </c>
      <c r="AH50" s="344">
        <f t="shared" si="20"/>
        <v>68.019999999999982</v>
      </c>
      <c r="AI50" s="418">
        <f>[1]!srRng2E($C$13,AH50)</f>
        <v>7.5977812856265876</v>
      </c>
      <c r="AJ50" s="124">
        <f>[1]!srE2Rng($C$14,AI50)/1000</f>
        <v>128.5637200736648</v>
      </c>
      <c r="AK50" s="252">
        <f>[1]!srEnewGas($C$14,AI50,$C$21,$AD50*100,$AC50)</f>
        <v>0</v>
      </c>
      <c r="AL50" s="252" t="e">
        <f>[1]!srE2LETt($C$12,AK50,0)</f>
        <v>#N/A</v>
      </c>
      <c r="AM50" s="252">
        <f>[1]!srEnew($C$15,AK50,$C$33)</f>
        <v>0</v>
      </c>
      <c r="AN50" s="252" t="e">
        <f>[1]!srE2LETt($C$14,AM50,0)</f>
        <v>#N/A</v>
      </c>
      <c r="AO50" s="161">
        <f>[1]!srEnewGas($C$14,AM50,$C$34,AD50*100,AC50)</f>
        <v>0</v>
      </c>
      <c r="AP50" s="372">
        <f t="shared" si="41"/>
        <v>0</v>
      </c>
      <c r="AQ50" s="252">
        <f t="shared" ca="1" si="42"/>
        <v>-0.79151296457695552</v>
      </c>
      <c r="AR50" s="349">
        <f t="shared" ca="1" si="43"/>
        <v>8.7743473535282404E-2</v>
      </c>
      <c r="AS50" s="252">
        <f t="shared" ca="1" si="44"/>
        <v>-0.79151296457695552</v>
      </c>
      <c r="AT50" s="419">
        <f t="shared" si="45"/>
        <v>6.1423944197844017E-10</v>
      </c>
      <c r="AU50" s="349">
        <f t="shared" ca="1" si="46"/>
        <v>-0.67367880885563891</v>
      </c>
      <c r="AV50" s="349">
        <f t="shared" ca="1" si="47"/>
        <v>8.5942456461626557E-2</v>
      </c>
      <c r="AW50" s="161">
        <f t="shared" ca="1" si="48"/>
        <v>-0.67367880885563891</v>
      </c>
      <c r="AX50" s="9"/>
      <c r="AY50" s="9"/>
      <c r="AZ50" s="13">
        <f>[1]!srRng2E($C$13,AZ$11-$V50)</f>
        <v>6.4842958459979716</v>
      </c>
      <c r="BA50" s="372">
        <f>[2]!e5adE_ICs(AZ50,$C$14,$C$15,$C$21,$AD50,$AC50,$C$33,$C$34)*$C$7</f>
        <v>0</v>
      </c>
      <c r="BB50" s="161">
        <f t="shared" ca="1" si="49"/>
        <v>-1.8196039259672714</v>
      </c>
      <c r="BC50" s="9"/>
      <c r="BD50" s="13">
        <f>[1]!srRng2E($C$13,BD$11-$V50)</f>
        <v>7.0473944294698994</v>
      </c>
      <c r="BE50" s="372">
        <f>[2]!e5adE_ICs(BD50,$C$14,$C$15,$C$21,$AD50,$AC50,$C$33,$C$34)*$C$7</f>
        <v>0</v>
      </c>
      <c r="BF50" s="161">
        <f t="shared" ca="1" si="50"/>
        <v>-1.4056154252842672</v>
      </c>
      <c r="BG50" s="9"/>
      <c r="BH50" s="13">
        <f>[1]!srRng2E($C$13,BH$11-$V50)</f>
        <v>8.1349206349206344</v>
      </c>
      <c r="BI50" s="372">
        <f>[2]!e5adE_ICs(BH50,$C$14,$C$15,$C$21,$AD50,$AC50,$C$33,$C$34)*$C$7</f>
        <v>0</v>
      </c>
      <c r="BJ50" s="161">
        <f t="shared" ca="1" si="51"/>
        <v>-0.41170880878388361</v>
      </c>
      <c r="BK50" s="9"/>
      <c r="BL50" s="13">
        <f>[1]!srRng2E($C$13,BL$11-$V50)</f>
        <v>8.6558609638851216</v>
      </c>
      <c r="BM50" s="372">
        <f>[2]!e5adE_ICs(BL50,$C$14,$C$15,$C$21,$AD50,$AC50,$C$33,$C$34)*$C$7</f>
        <v>0</v>
      </c>
      <c r="BN50" s="161">
        <f t="shared" ca="1" si="52"/>
        <v>-0.67942444605115737</v>
      </c>
      <c r="BO50" s="9"/>
      <c r="BP50" s="124">
        <f t="shared" si="30"/>
        <v>0</v>
      </c>
      <c r="BQ50" s="124">
        <f t="shared" si="31"/>
        <v>0</v>
      </c>
      <c r="BR50" s="124">
        <f t="shared" si="32"/>
        <v>0</v>
      </c>
      <c r="BS50" s="124">
        <f t="shared" si="33"/>
        <v>0</v>
      </c>
      <c r="BT50" s="123">
        <f t="shared" si="34"/>
        <v>0</v>
      </c>
      <c r="BU50" s="9"/>
      <c r="BV50" s="124">
        <f t="shared" ca="1" si="35"/>
        <v>-1.8196039259672714</v>
      </c>
      <c r="BW50" s="124">
        <f t="shared" ca="1" si="36"/>
        <v>-1.4056154252842672</v>
      </c>
      <c r="BX50" s="124">
        <f t="shared" ca="1" si="5"/>
        <v>-0.67367880885563891</v>
      </c>
      <c r="BY50" s="124">
        <f t="shared" ca="1" si="37"/>
        <v>-0.41170880878388361</v>
      </c>
      <c r="BZ50" s="123">
        <f t="shared" ca="1" si="38"/>
        <v>-0.67942444605115737</v>
      </c>
      <c r="CA50" s="142"/>
    </row>
    <row r="51" spans="2:79">
      <c r="B51" s="5"/>
      <c r="C51" s="289"/>
      <c r="D51" s="5"/>
      <c r="E51" s="5"/>
      <c r="F51" s="123">
        <f t="shared" si="6"/>
        <v>930.18</v>
      </c>
      <c r="G51" s="374" t="s">
        <v>274</v>
      </c>
      <c r="H51" s="444">
        <v>28</v>
      </c>
      <c r="I51" s="298"/>
      <c r="J51" s="343" t="str">
        <f t="shared" si="7"/>
        <v>1</v>
      </c>
      <c r="K51" s="343" t="str">
        <f t="shared" si="8"/>
        <v>2</v>
      </c>
      <c r="L51" s="343" t="str">
        <f t="shared" si="9"/>
        <v>3</v>
      </c>
      <c r="M51" s="343" t="str">
        <f t="shared" si="10"/>
        <v>0</v>
      </c>
      <c r="N51" s="343" t="str">
        <f t="shared" si="11"/>
        <v>5</v>
      </c>
      <c r="O51" s="343" t="str">
        <f t="shared" si="12"/>
        <v>6</v>
      </c>
      <c r="P51" s="343" t="str">
        <f t="shared" si="13"/>
        <v>7</v>
      </c>
      <c r="Q51" s="343" t="str">
        <f t="shared" si="14"/>
        <v>8</v>
      </c>
      <c r="R51" s="343" t="str">
        <f t="shared" si="15"/>
        <v>0</v>
      </c>
      <c r="S51" s="343" t="str">
        <f t="shared" si="16"/>
        <v>0</v>
      </c>
      <c r="T51" s="343" t="str">
        <f t="shared" si="17"/>
        <v>0</v>
      </c>
      <c r="U51" s="343" t="str">
        <f t="shared" si="18"/>
        <v>0</v>
      </c>
      <c r="V51" s="46">
        <f>[2]!e5aEDthkI(ThEDtbl,J51:U51)</f>
        <v>930.18</v>
      </c>
      <c r="W51" s="46"/>
      <c r="X51" s="177"/>
      <c r="Y51" s="381">
        <v>1.8810000000000001E-6</v>
      </c>
      <c r="Z51" s="257">
        <v>6.0290000000000006E-8</v>
      </c>
      <c r="AA51" s="257">
        <v>3.4540000000000002E-10</v>
      </c>
      <c r="AB51" s="257">
        <v>1.2130000000000001E-10</v>
      </c>
      <c r="AC51" s="251">
        <v>27.65</v>
      </c>
      <c r="AD51" s="382">
        <v>1008</v>
      </c>
      <c r="AE51" s="46"/>
      <c r="AF51" s="391">
        <f t="shared" si="39"/>
        <v>0.97404030906340722</v>
      </c>
      <c r="AG51" s="391">
        <f t="shared" si="40"/>
        <v>3.1220037338348123E-2</v>
      </c>
      <c r="AH51" s="344">
        <f t="shared" si="20"/>
        <v>57.82000000000005</v>
      </c>
      <c r="AI51" s="418">
        <f>[1]!srRng2E($C$13,AH51)</f>
        <v>6.4612692272266798</v>
      </c>
      <c r="AJ51" s="124">
        <f>[1]!srE2Rng($C$14,AI51)/1000</f>
        <v>108.973675048356</v>
      </c>
      <c r="AK51" s="252">
        <f>[1]!srEnewGas($C$14,AI51,$C$21,$AD51*100,$AC51)</f>
        <v>0</v>
      </c>
      <c r="AL51" s="252" t="e">
        <f>[1]!srE2LETt($C$12,AK51,0)</f>
        <v>#N/A</v>
      </c>
      <c r="AM51" s="252">
        <f>[1]!srEnew($C$15,AK51,$C$33)</f>
        <v>0</v>
      </c>
      <c r="AN51" s="252" t="e">
        <f>[1]!srE2LETt($C$14,AM51,0)</f>
        <v>#N/A</v>
      </c>
      <c r="AO51" s="161">
        <f>[1]!srEnewGas($C$14,AM51,$C$34,AD51*100,AC51)</f>
        <v>0</v>
      </c>
      <c r="AP51" s="372">
        <f t="shared" si="41"/>
        <v>0</v>
      </c>
      <c r="AQ51" s="252">
        <f t="shared" ca="1" si="42"/>
        <v>-0.87105327403518595</v>
      </c>
      <c r="AR51" s="349">
        <f t="shared" ca="1" si="43"/>
        <v>3.6853474168385587E-2</v>
      </c>
      <c r="AS51" s="252">
        <f t="shared" ca="1" si="44"/>
        <v>-0.87105327403518595</v>
      </c>
      <c r="AT51" s="419">
        <f t="shared" si="45"/>
        <v>3.5460544783010154E-10</v>
      </c>
      <c r="AU51" s="349">
        <f t="shared" ca="1" si="46"/>
        <v>-0.75094190871038891</v>
      </c>
      <c r="AV51" s="349">
        <f t="shared" ca="1" si="47"/>
        <v>3.6097022052615314E-2</v>
      </c>
      <c r="AW51" s="161">
        <f t="shared" ca="1" si="48"/>
        <v>-0.75094190871038891</v>
      </c>
      <c r="AX51" s="9"/>
      <c r="AY51" s="9"/>
      <c r="AZ51" s="13">
        <f>[1]!srRng2E($C$13,AZ$11-$V51)</f>
        <v>5.2919443639524832</v>
      </c>
      <c r="BA51" s="372">
        <f>[2]!e5adE_ICs(AZ51,$C$14,$C$15,$C$21,$AD51,$AC51,$C$33,$C$34)*$C$7</f>
        <v>0</v>
      </c>
      <c r="BB51" s="161">
        <f t="shared" ca="1" si="49"/>
        <v>-1.8854132594518438</v>
      </c>
      <c r="BC51" s="9"/>
      <c r="BD51" s="13">
        <f>[1]!srRng2E($C$13,BD$11-$V51)</f>
        <v>5.883881330309908</v>
      </c>
      <c r="BE51" s="372">
        <f>[2]!e5adE_ICs(BD51,$C$14,$C$15,$C$21,$AD51,$AC51,$C$33,$C$34)*$C$7</f>
        <v>0</v>
      </c>
      <c r="BF51" s="161">
        <f t="shared" ca="1" si="50"/>
        <v>-1.4804848447391279</v>
      </c>
      <c r="BG51" s="9"/>
      <c r="BH51" s="13">
        <f>[1]!srRng2E($C$13,BH$11-$V51)</f>
        <v>7.0249326145552624</v>
      </c>
      <c r="BI51" s="372">
        <f>[2]!e5adE_ICs(BH51,$C$14,$C$15,$C$21,$AD51,$AC51,$C$33,$C$34)*$C$7</f>
        <v>0</v>
      </c>
      <c r="BJ51" s="161">
        <f t="shared" ca="1" si="51"/>
        <v>-0.48381698086071517</v>
      </c>
      <c r="BK51" s="9"/>
      <c r="BL51" s="13">
        <f>[1]!srRng2E($C$13,BL$11-$V51)</f>
        <v>7.5758572305533693</v>
      </c>
      <c r="BM51" s="372">
        <f>[2]!e5adE_ICs(BL51,$C$14,$C$15,$C$21,$AD51,$AC51,$C$33,$C$34)*$C$7</f>
        <v>0</v>
      </c>
      <c r="BN51" s="161">
        <f t="shared" ca="1" si="52"/>
        <v>-0.74190896833228537</v>
      </c>
      <c r="BO51" s="9"/>
      <c r="BP51" s="124">
        <f t="shared" si="30"/>
        <v>0</v>
      </c>
      <c r="BQ51" s="124">
        <f t="shared" si="31"/>
        <v>0</v>
      </c>
      <c r="BR51" s="124">
        <f t="shared" si="32"/>
        <v>0</v>
      </c>
      <c r="BS51" s="124">
        <f t="shared" si="33"/>
        <v>0</v>
      </c>
      <c r="BT51" s="123">
        <f t="shared" si="34"/>
        <v>0</v>
      </c>
      <c r="BU51" s="9"/>
      <c r="BV51" s="124">
        <f t="shared" ca="1" si="35"/>
        <v>-1.8854132594518438</v>
      </c>
      <c r="BW51" s="124">
        <f t="shared" ca="1" si="36"/>
        <v>-1.4804848447391279</v>
      </c>
      <c r="BX51" s="124">
        <f t="shared" ca="1" si="5"/>
        <v>-0.75094190871038891</v>
      </c>
      <c r="BY51" s="124">
        <f t="shared" ca="1" si="37"/>
        <v>-0.48381698086071517</v>
      </c>
      <c r="BZ51" s="123">
        <f t="shared" ca="1" si="38"/>
        <v>-0.74190896833228537</v>
      </c>
      <c r="CA51" s="142"/>
    </row>
    <row r="52" spans="2:79">
      <c r="B52" s="5"/>
      <c r="C52" s="289"/>
      <c r="D52" s="9"/>
      <c r="F52" s="123">
        <f t="shared" si="6"/>
        <v>935.66</v>
      </c>
      <c r="G52" s="374" t="s">
        <v>275</v>
      </c>
      <c r="H52" s="444">
        <v>28</v>
      </c>
      <c r="I52" s="298"/>
      <c r="J52" s="343" t="str">
        <f t="shared" si="7"/>
        <v>1</v>
      </c>
      <c r="K52" s="343" t="str">
        <f t="shared" si="8"/>
        <v>2</v>
      </c>
      <c r="L52" s="343" t="str">
        <f t="shared" si="9"/>
        <v>3</v>
      </c>
      <c r="M52" s="343" t="str">
        <f t="shared" si="10"/>
        <v>0</v>
      </c>
      <c r="N52" s="343" t="str">
        <f t="shared" si="11"/>
        <v>5</v>
      </c>
      <c r="O52" s="343" t="str">
        <f t="shared" si="12"/>
        <v>6</v>
      </c>
      <c r="P52" s="343" t="str">
        <f t="shared" si="13"/>
        <v>7</v>
      </c>
      <c r="Q52" s="343" t="str">
        <f t="shared" si="14"/>
        <v>8</v>
      </c>
      <c r="R52" s="343" t="str">
        <f t="shared" si="15"/>
        <v>0</v>
      </c>
      <c r="S52" s="343" t="str">
        <f t="shared" si="16"/>
        <v>A</v>
      </c>
      <c r="T52" s="343" t="str">
        <f t="shared" si="17"/>
        <v>0</v>
      </c>
      <c r="U52" s="343" t="str">
        <f t="shared" si="18"/>
        <v>0</v>
      </c>
      <c r="V52" s="46">
        <f>[2]!e5aEDthkI(ThEDtbl,J52:U52)</f>
        <v>935.66</v>
      </c>
      <c r="W52" s="46"/>
      <c r="X52" s="177"/>
      <c r="Y52" s="381">
        <v>1.9039999999999999E-6</v>
      </c>
      <c r="Z52" s="257">
        <v>3.8080000000000001E-8</v>
      </c>
      <c r="AA52" s="257">
        <v>3.654E-10</v>
      </c>
      <c r="AB52" s="257">
        <v>1.966E-10</v>
      </c>
      <c r="AC52" s="251">
        <v>27.7</v>
      </c>
      <c r="AD52" s="382">
        <v>1008</v>
      </c>
      <c r="AE52" s="46"/>
      <c r="AF52" s="391">
        <f t="shared" si="39"/>
        <v>0.98595042448523507</v>
      </c>
      <c r="AG52" s="391">
        <f t="shared" si="40"/>
        <v>1.9719008489704704E-2</v>
      </c>
      <c r="AH52" s="344">
        <f t="shared" si="20"/>
        <v>52.340000000000032</v>
      </c>
      <c r="AI52" s="418">
        <f>[1]!srRng2E($C$13,AH52)</f>
        <v>5.8271919879062777</v>
      </c>
      <c r="AJ52" s="124">
        <f>[1]!srE2Rng($C$14,AI52)/1000</f>
        <v>98.395198412698477</v>
      </c>
      <c r="AK52" s="252">
        <f>[1]!srEnewGas($C$14,AI52,$C$21,$AD52*100,$AC52)</f>
        <v>0</v>
      </c>
      <c r="AL52" s="252" t="e">
        <f>[1]!srE2LETt($C$12,AK52,0)</f>
        <v>#N/A</v>
      </c>
      <c r="AM52" s="252">
        <f>[1]!srEnew($C$15,AK52,$C$33)</f>
        <v>0</v>
      </c>
      <c r="AN52" s="252" t="e">
        <f>[1]!srE2LETt($C$14,AM52,0)</f>
        <v>#N/A</v>
      </c>
      <c r="AO52" s="161">
        <f>[1]!srEnewGas($C$14,AM52,$C$34,AD52*100,AC52)</f>
        <v>0</v>
      </c>
      <c r="AP52" s="372">
        <f t="shared" si="41"/>
        <v>0</v>
      </c>
      <c r="AQ52" s="252">
        <f t="shared" ca="1" si="42"/>
        <v>-0.8649768562003326</v>
      </c>
      <c r="AR52" s="349">
        <f t="shared" ca="1" si="43"/>
        <v>5.9731187316608453E-2</v>
      </c>
      <c r="AS52" s="252">
        <f t="shared" ca="1" si="44"/>
        <v>-0.8649768562003326</v>
      </c>
      <c r="AT52" s="419">
        <f t="shared" si="45"/>
        <v>3.7060686919504644E-10</v>
      </c>
      <c r="AU52" s="349">
        <f t="shared" ca="1" si="46"/>
        <v>-0.7461801308053303</v>
      </c>
      <c r="AV52" s="349">
        <f t="shared" ca="1" si="47"/>
        <v>5.850514868544246E-2</v>
      </c>
      <c r="AW52" s="161">
        <f t="shared" ca="1" si="48"/>
        <v>-0.7461801308053303</v>
      </c>
      <c r="AX52" s="9"/>
      <c r="AY52" s="9"/>
      <c r="AZ52" s="13">
        <f>[1]!srRng2E($C$13,AZ$11-$V52)</f>
        <v>4.6278532073986662</v>
      </c>
      <c r="BA52" s="372">
        <f>[2]!e5adE_ICs(AZ52,$C$14,$C$15,$C$21,$AD52,$AC52,$C$33,$C$34)*$C$7</f>
        <v>0</v>
      </c>
      <c r="BB52" s="161">
        <f t="shared" ca="1" si="49"/>
        <v>-1.8813573850341387</v>
      </c>
      <c r="BC52" s="9"/>
      <c r="BD52" s="13">
        <f>[1]!srRng2E($C$13,BD$11-$V52)</f>
        <v>5.2339901477832544</v>
      </c>
      <c r="BE52" s="372">
        <f>[2]!e5adE_ICs(BD52,$C$14,$C$15,$C$21,$AD52,$AC52,$C$33,$C$34)*$C$7</f>
        <v>0</v>
      </c>
      <c r="BF52" s="161">
        <f t="shared" ca="1" si="50"/>
        <v>-1.4758705910009924</v>
      </c>
      <c r="BG52" s="9"/>
      <c r="BH52" s="13">
        <f>[1]!srRng2E($C$13,BH$11-$V52)</f>
        <v>6.4060053421755585</v>
      </c>
      <c r="BI52" s="372">
        <f>[2]!e5adE_ICs(BH52,$C$14,$C$15,$C$21,$AD52,$AC52,$C$33,$C$34)*$C$7</f>
        <v>0</v>
      </c>
      <c r="BJ52" s="161">
        <f t="shared" ca="1" si="51"/>
        <v>-0.47937290469479477</v>
      </c>
      <c r="BK52" s="9"/>
      <c r="BL52" s="13">
        <f>[1]!srRng2E($C$13,BL$11-$V52)</f>
        <v>6.9710242587601119</v>
      </c>
      <c r="BM52" s="372">
        <f>[2]!e5adE_ICs(BL52,$C$14,$C$15,$C$21,$AD52,$AC52,$C$33,$C$34)*$C$7</f>
        <v>0</v>
      </c>
      <c r="BN52" s="161">
        <f t="shared" ca="1" si="52"/>
        <v>-0.73805800431238755</v>
      </c>
      <c r="BO52" s="9"/>
      <c r="BP52" s="124">
        <f t="shared" si="30"/>
        <v>0</v>
      </c>
      <c r="BQ52" s="124">
        <f t="shared" si="31"/>
        <v>0</v>
      </c>
      <c r="BR52" s="124">
        <f t="shared" si="32"/>
        <v>0</v>
      </c>
      <c r="BS52" s="124">
        <f t="shared" si="33"/>
        <v>0</v>
      </c>
      <c r="BT52" s="123">
        <f t="shared" si="34"/>
        <v>0</v>
      </c>
      <c r="BU52" s="9"/>
      <c r="BV52" s="124">
        <f t="shared" ca="1" si="35"/>
        <v>-1.8813573850341387</v>
      </c>
      <c r="BW52" s="124">
        <f t="shared" ca="1" si="36"/>
        <v>-1.4758705910009924</v>
      </c>
      <c r="BX52" s="124">
        <f t="shared" ca="1" si="5"/>
        <v>-0.7461801308053303</v>
      </c>
      <c r="BY52" s="124">
        <f t="shared" ca="1" si="37"/>
        <v>-0.47937290469479477</v>
      </c>
      <c r="BZ52" s="123">
        <f t="shared" ca="1" si="38"/>
        <v>-0.73805800431238755</v>
      </c>
      <c r="CA52" s="142"/>
    </row>
    <row r="53" spans="2:79">
      <c r="B53" s="5"/>
      <c r="C53" s="289"/>
      <c r="D53" s="5"/>
      <c r="E53" s="5"/>
      <c r="F53" s="123"/>
      <c r="G53" s="375"/>
      <c r="H53" s="444"/>
      <c r="I53" s="298"/>
      <c r="J53" s="343"/>
      <c r="K53" s="343"/>
      <c r="L53" s="343"/>
      <c r="M53" s="343"/>
      <c r="N53" s="343"/>
      <c r="O53" s="343"/>
      <c r="P53" s="343"/>
      <c r="Q53" s="343"/>
      <c r="R53" s="343"/>
      <c r="S53" s="343"/>
      <c r="T53" s="343"/>
      <c r="U53" s="343"/>
      <c r="V53" s="46"/>
      <c r="W53" s="46"/>
      <c r="X53" s="177"/>
      <c r="Y53" s="381"/>
      <c r="Z53" s="257"/>
      <c r="AA53" s="257"/>
      <c r="AB53" s="257"/>
      <c r="AC53" s="251"/>
      <c r="AD53" s="382"/>
      <c r="AE53" s="46"/>
      <c r="AF53" s="391"/>
      <c r="AG53" s="391"/>
      <c r="AH53" s="344"/>
      <c r="AI53" s="418"/>
      <c r="AJ53" s="161"/>
      <c r="AK53" s="252"/>
      <c r="AL53" s="252"/>
      <c r="AM53" s="252"/>
      <c r="AN53" s="252"/>
      <c r="AO53" s="161"/>
      <c r="AP53" s="372"/>
      <c r="AQ53" s="252"/>
      <c r="AR53" s="349"/>
      <c r="AS53" s="252"/>
      <c r="AT53" s="419"/>
      <c r="AU53" s="349"/>
      <c r="AV53" s="349"/>
      <c r="AW53" s="161"/>
      <c r="AX53" s="9"/>
      <c r="AY53" s="9"/>
      <c r="AZ53" s="13"/>
      <c r="BA53" s="372"/>
      <c r="BB53" s="161"/>
      <c r="BC53" s="9"/>
      <c r="BD53" s="13"/>
      <c r="BE53" s="372"/>
      <c r="BF53" s="161"/>
      <c r="BG53" s="9"/>
      <c r="BH53" s="13"/>
      <c r="BI53" s="372"/>
      <c r="BJ53" s="161"/>
      <c r="BK53" s="9"/>
      <c r="BL53" s="13"/>
      <c r="BM53" s="372"/>
      <c r="BN53" s="161"/>
      <c r="BO53" s="9"/>
      <c r="BP53" s="124"/>
      <c r="BQ53" s="124"/>
      <c r="BR53" s="124"/>
      <c r="BS53" s="124"/>
      <c r="BT53" s="123"/>
      <c r="BU53" s="9"/>
      <c r="BV53" s="124"/>
      <c r="BW53" s="124"/>
      <c r="BX53" s="124"/>
      <c r="BY53" s="124"/>
      <c r="BZ53" s="123"/>
      <c r="CA53" s="142"/>
    </row>
    <row r="54" spans="2:79">
      <c r="B54" s="159"/>
      <c r="C54" s="55"/>
      <c r="D54" s="55"/>
      <c r="E54" s="55"/>
      <c r="F54" s="123"/>
      <c r="G54" s="375"/>
      <c r="H54" s="444"/>
      <c r="I54" s="298"/>
      <c r="J54" s="343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46"/>
      <c r="W54" s="46"/>
      <c r="X54" s="177"/>
      <c r="Y54" s="381"/>
      <c r="Z54" s="257"/>
      <c r="AA54" s="257"/>
      <c r="AB54" s="257"/>
      <c r="AC54" s="251"/>
      <c r="AD54" s="382"/>
      <c r="AE54" s="46"/>
      <c r="AF54" s="391"/>
      <c r="AG54" s="391"/>
      <c r="AH54" s="344"/>
      <c r="AI54" s="418"/>
      <c r="AJ54" s="161"/>
      <c r="AK54" s="252"/>
      <c r="AL54" s="252"/>
      <c r="AM54" s="252"/>
      <c r="AN54" s="252"/>
      <c r="AO54" s="161"/>
      <c r="AP54" s="372"/>
      <c r="AQ54" s="252"/>
      <c r="AR54" s="349"/>
      <c r="AS54" s="252"/>
      <c r="AT54" s="419"/>
      <c r="AU54" s="349"/>
      <c r="AV54" s="349"/>
      <c r="AW54" s="161"/>
      <c r="AX54" s="9"/>
      <c r="AY54" s="9"/>
      <c r="AZ54" s="13"/>
      <c r="BA54" s="372"/>
      <c r="BB54" s="161"/>
      <c r="BC54" s="9"/>
      <c r="BD54" s="13"/>
      <c r="BE54" s="372"/>
      <c r="BF54" s="161"/>
      <c r="BG54" s="9"/>
      <c r="BH54" s="13"/>
      <c r="BI54" s="372"/>
      <c r="BJ54" s="161"/>
      <c r="BK54" s="9"/>
      <c r="BL54" s="13"/>
      <c r="BM54" s="372"/>
      <c r="BN54" s="161"/>
      <c r="BO54" s="9"/>
      <c r="BP54" s="124"/>
      <c r="BQ54" s="124"/>
      <c r="BR54" s="124"/>
      <c r="BS54" s="124"/>
      <c r="BT54" s="123"/>
      <c r="BU54" s="9"/>
      <c r="BV54" s="124"/>
      <c r="BW54" s="124"/>
      <c r="BX54" s="124"/>
      <c r="BY54" s="124"/>
      <c r="BZ54" s="123"/>
      <c r="CA54" s="142"/>
    </row>
    <row r="55" spans="2:79">
      <c r="B55" s="166"/>
      <c r="C55" s="122"/>
      <c r="D55" s="157"/>
      <c r="E55" s="157"/>
      <c r="F55" s="123"/>
      <c r="G55" s="375"/>
      <c r="H55" s="444"/>
      <c r="I55" s="298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46"/>
      <c r="W55" s="46"/>
      <c r="X55" s="177"/>
      <c r="Y55" s="381"/>
      <c r="Z55" s="257"/>
      <c r="AA55" s="257"/>
      <c r="AB55" s="257"/>
      <c r="AC55" s="251"/>
      <c r="AD55" s="382"/>
      <c r="AE55" s="46"/>
      <c r="AF55" s="391"/>
      <c r="AG55" s="391"/>
      <c r="AH55" s="344"/>
      <c r="AI55" s="418"/>
      <c r="AJ55" s="161"/>
      <c r="AK55" s="252"/>
      <c r="AL55" s="252"/>
      <c r="AM55" s="252"/>
      <c r="AN55" s="252"/>
      <c r="AO55" s="161"/>
      <c r="AP55" s="372"/>
      <c r="AQ55" s="252"/>
      <c r="AR55" s="349"/>
      <c r="AS55" s="252"/>
      <c r="AT55" s="419"/>
      <c r="AU55" s="349"/>
      <c r="AV55" s="349"/>
      <c r="AW55" s="161"/>
      <c r="AX55" s="9"/>
      <c r="AY55" s="9"/>
      <c r="AZ55" s="13"/>
      <c r="BA55" s="372"/>
      <c r="BB55" s="161"/>
      <c r="BC55" s="9"/>
      <c r="BD55" s="13"/>
      <c r="BE55" s="372"/>
      <c r="BF55" s="161"/>
      <c r="BG55" s="9"/>
      <c r="BH55" s="13"/>
      <c r="BI55" s="372"/>
      <c r="BJ55" s="161"/>
      <c r="BK55" s="9"/>
      <c r="BL55" s="13"/>
      <c r="BM55" s="372"/>
      <c r="BN55" s="161"/>
      <c r="BO55" s="9"/>
      <c r="BP55" s="124"/>
      <c r="BQ55" s="124"/>
      <c r="BR55" s="124"/>
      <c r="BS55" s="124"/>
      <c r="BT55" s="123"/>
      <c r="BU55" s="9"/>
      <c r="BV55" s="124"/>
      <c r="BW55" s="124"/>
      <c r="BX55" s="124"/>
      <c r="BY55" s="124"/>
      <c r="BZ55" s="123"/>
      <c r="CA55" s="142"/>
    </row>
    <row r="56" spans="2:79">
      <c r="B56" s="288"/>
      <c r="C56" s="55"/>
      <c r="D56" s="65"/>
      <c r="E56" s="65"/>
      <c r="F56" s="123"/>
      <c r="G56" s="375"/>
      <c r="H56" s="444"/>
      <c r="I56" s="298"/>
      <c r="J56" s="343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46"/>
      <c r="W56" s="46"/>
      <c r="X56" s="177"/>
      <c r="Y56" s="381"/>
      <c r="Z56" s="257"/>
      <c r="AA56" s="257"/>
      <c r="AB56" s="257"/>
      <c r="AC56" s="251"/>
      <c r="AD56" s="382"/>
      <c r="AE56" s="46"/>
      <c r="AF56" s="391"/>
      <c r="AG56" s="391"/>
      <c r="AH56" s="344"/>
      <c r="AI56" s="418"/>
      <c r="AJ56" s="161"/>
      <c r="AK56" s="252"/>
      <c r="AL56" s="252"/>
      <c r="AM56" s="252"/>
      <c r="AN56" s="252"/>
      <c r="AO56" s="161"/>
      <c r="AP56" s="372"/>
      <c r="AQ56" s="252"/>
      <c r="AR56" s="349"/>
      <c r="AS56" s="252"/>
      <c r="AT56" s="419"/>
      <c r="AU56" s="349"/>
      <c r="AV56" s="349"/>
      <c r="AW56" s="161"/>
      <c r="AX56" s="9"/>
      <c r="AY56" s="9"/>
      <c r="AZ56" s="13"/>
      <c r="BA56" s="372"/>
      <c r="BB56" s="161"/>
      <c r="BC56" s="9"/>
      <c r="BD56" s="13"/>
      <c r="BE56" s="372"/>
      <c r="BF56" s="161"/>
      <c r="BG56" s="9"/>
      <c r="BH56" s="13"/>
      <c r="BI56" s="372"/>
      <c r="BJ56" s="161"/>
      <c r="BK56" s="9"/>
      <c r="BL56" s="13"/>
      <c r="BM56" s="372"/>
      <c r="BN56" s="161"/>
      <c r="BO56" s="9"/>
      <c r="BP56" s="124"/>
      <c r="BQ56" s="124"/>
      <c r="BR56" s="124"/>
      <c r="BS56" s="124"/>
      <c r="BT56" s="123"/>
      <c r="BU56" s="9"/>
      <c r="BV56" s="124"/>
      <c r="BW56" s="124"/>
      <c r="BX56" s="124"/>
      <c r="BY56" s="124"/>
      <c r="BZ56" s="123"/>
      <c r="CA56" s="142"/>
    </row>
    <row r="57" spans="2:79" ht="12.75" customHeight="1">
      <c r="B57" s="290"/>
      <c r="C57" s="122"/>
      <c r="D57" s="129"/>
      <c r="E57" s="129"/>
      <c r="F57" s="123"/>
      <c r="G57" s="375"/>
      <c r="H57" s="444"/>
      <c r="I57" s="298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46"/>
      <c r="W57" s="46"/>
      <c r="X57" s="177"/>
      <c r="Y57" s="381"/>
      <c r="Z57" s="257"/>
      <c r="AA57" s="257"/>
      <c r="AB57" s="257"/>
      <c r="AC57" s="251"/>
      <c r="AD57" s="382"/>
      <c r="AE57" s="46"/>
      <c r="AF57" s="391"/>
      <c r="AG57" s="391"/>
      <c r="AH57" s="344"/>
      <c r="AI57" s="418"/>
      <c r="AJ57" s="161"/>
      <c r="AK57" s="252"/>
      <c r="AL57" s="252"/>
      <c r="AM57" s="252"/>
      <c r="AN57" s="252"/>
      <c r="AO57" s="161"/>
      <c r="AP57" s="372"/>
      <c r="AQ57" s="252"/>
      <c r="AR57" s="349"/>
      <c r="AS57" s="252"/>
      <c r="AT57" s="419"/>
      <c r="AU57" s="349"/>
      <c r="AV57" s="349"/>
      <c r="AW57" s="161"/>
      <c r="AX57" s="9"/>
      <c r="AY57" s="9"/>
      <c r="AZ57" s="13"/>
      <c r="BA57" s="372"/>
      <c r="BB57" s="161"/>
      <c r="BC57" s="9"/>
      <c r="BD57" s="13"/>
      <c r="BE57" s="372"/>
      <c r="BF57" s="161"/>
      <c r="BG57" s="9"/>
      <c r="BH57" s="13"/>
      <c r="BI57" s="372"/>
      <c r="BJ57" s="161"/>
      <c r="BK57" s="9"/>
      <c r="BL57" s="13"/>
      <c r="BM57" s="372"/>
      <c r="BN57" s="161"/>
      <c r="BO57" s="9"/>
      <c r="BP57" s="124"/>
      <c r="BQ57" s="124"/>
      <c r="BR57" s="124"/>
      <c r="BS57" s="124"/>
      <c r="BT57" s="123"/>
      <c r="BU57" s="9"/>
      <c r="BV57" s="124"/>
      <c r="BW57" s="124"/>
      <c r="BX57" s="124"/>
      <c r="BY57" s="124"/>
      <c r="BZ57" s="123"/>
      <c r="CA57" s="142"/>
    </row>
    <row r="58" spans="2:79">
      <c r="B58" s="5"/>
      <c r="C58" s="289"/>
      <c r="D58" s="5"/>
      <c r="E58" s="5"/>
      <c r="F58" s="123"/>
      <c r="G58" s="260"/>
      <c r="H58" s="444"/>
      <c r="I58" s="298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3"/>
      <c r="U58" s="343"/>
      <c r="V58" s="46"/>
      <c r="W58" s="46"/>
      <c r="X58" s="177"/>
      <c r="Y58" s="381"/>
      <c r="Z58" s="257"/>
      <c r="AA58" s="257"/>
      <c r="AB58" s="257"/>
      <c r="AC58" s="251"/>
      <c r="AD58" s="382"/>
      <c r="AE58" s="46"/>
      <c r="AF58" s="391"/>
      <c r="AG58" s="391"/>
      <c r="AH58" s="344"/>
      <c r="AI58" s="418"/>
      <c r="AJ58" s="161"/>
      <c r="AK58" s="252"/>
      <c r="AL58" s="252"/>
      <c r="AM58" s="252"/>
      <c r="AN58" s="252"/>
      <c r="AO58" s="161"/>
      <c r="AP58" s="372"/>
      <c r="AQ58" s="252"/>
      <c r="AR58" s="349"/>
      <c r="AS58" s="252"/>
      <c r="AT58" s="419"/>
      <c r="AU58" s="349"/>
      <c r="AV58" s="349"/>
      <c r="AW58" s="161"/>
      <c r="AX58" s="9"/>
      <c r="AY58" s="9"/>
      <c r="AZ58" s="13"/>
      <c r="BA58" s="372"/>
      <c r="BB58" s="161"/>
      <c r="BC58" s="9"/>
      <c r="BD58" s="13"/>
      <c r="BE58" s="372"/>
      <c r="BF58" s="161"/>
      <c r="BG58" s="9"/>
      <c r="BH58" s="13"/>
      <c r="BI58" s="372"/>
      <c r="BJ58" s="161"/>
      <c r="BK58" s="9"/>
      <c r="BL58" s="13"/>
      <c r="BM58" s="372"/>
      <c r="BN58" s="161"/>
      <c r="BO58" s="9"/>
      <c r="BP58" s="124"/>
      <c r="BQ58" s="124"/>
      <c r="BR58" s="124"/>
      <c r="BS58" s="124"/>
      <c r="BT58" s="123"/>
      <c r="BU58" s="9"/>
      <c r="BV58" s="124"/>
      <c r="BW58" s="124"/>
      <c r="BX58" s="124"/>
      <c r="BY58" s="124"/>
      <c r="BZ58" s="123"/>
      <c r="CA58" s="142"/>
    </row>
    <row r="59" spans="2:79">
      <c r="B59" s="5"/>
      <c r="C59" s="289"/>
      <c r="D59" s="5"/>
      <c r="E59" s="5"/>
      <c r="F59" s="123"/>
      <c r="G59" s="374"/>
      <c r="H59" s="444"/>
      <c r="I59" s="298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46"/>
      <c r="W59" s="46"/>
      <c r="X59" s="177"/>
      <c r="Y59" s="381"/>
      <c r="Z59" s="257"/>
      <c r="AA59" s="257"/>
      <c r="AB59" s="257"/>
      <c r="AC59" s="251"/>
      <c r="AD59" s="382"/>
      <c r="AE59" s="46"/>
      <c r="AF59" s="391"/>
      <c r="AG59" s="391"/>
      <c r="AH59" s="344"/>
      <c r="AI59" s="418"/>
      <c r="AJ59" s="161"/>
      <c r="AK59" s="252"/>
      <c r="AL59" s="252"/>
      <c r="AM59" s="252"/>
      <c r="AN59" s="252"/>
      <c r="AO59" s="161"/>
      <c r="AP59" s="372"/>
      <c r="AQ59" s="252"/>
      <c r="AR59" s="349"/>
      <c r="AS59" s="252"/>
      <c r="AT59" s="419"/>
      <c r="AU59" s="349"/>
      <c r="AV59" s="349"/>
      <c r="AW59" s="161"/>
      <c r="AX59" s="9"/>
      <c r="AY59" s="9"/>
      <c r="AZ59" s="13"/>
      <c r="BA59" s="372"/>
      <c r="BB59" s="161"/>
      <c r="BC59" s="9"/>
      <c r="BD59" s="13"/>
      <c r="BE59" s="372"/>
      <c r="BF59" s="161"/>
      <c r="BG59" s="9"/>
      <c r="BH59" s="13"/>
      <c r="BI59" s="372"/>
      <c r="BJ59" s="161"/>
      <c r="BK59" s="9"/>
      <c r="BL59" s="13"/>
      <c r="BM59" s="372"/>
      <c r="BN59" s="161"/>
      <c r="BO59" s="9"/>
      <c r="BP59" s="124"/>
      <c r="BQ59" s="124"/>
      <c r="BR59" s="124"/>
      <c r="BS59" s="124"/>
      <c r="BT59" s="123"/>
      <c r="BU59" s="9"/>
      <c r="BV59" s="124"/>
      <c r="BW59" s="124"/>
      <c r="BX59" s="124"/>
      <c r="BY59" s="124"/>
      <c r="BZ59" s="123"/>
      <c r="CA59" s="142"/>
    </row>
    <row r="60" spans="2:79">
      <c r="B60" s="5"/>
      <c r="C60" s="289"/>
      <c r="D60" s="9"/>
      <c r="F60" s="123"/>
      <c r="G60" s="374"/>
      <c r="H60" s="444"/>
      <c r="I60" s="298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46"/>
      <c r="W60" s="46"/>
      <c r="X60" s="177"/>
      <c r="Y60" s="381"/>
      <c r="Z60" s="257"/>
      <c r="AA60" s="257"/>
      <c r="AB60" s="257"/>
      <c r="AC60" s="251"/>
      <c r="AD60" s="382"/>
      <c r="AE60" s="46"/>
      <c r="AF60" s="391"/>
      <c r="AG60" s="391"/>
      <c r="AH60" s="344"/>
      <c r="AI60" s="418"/>
      <c r="AJ60" s="161"/>
      <c r="AK60" s="252"/>
      <c r="AL60" s="252"/>
      <c r="AM60" s="252"/>
      <c r="AN60" s="252"/>
      <c r="AO60" s="161"/>
      <c r="AP60" s="372"/>
      <c r="AQ60" s="252"/>
      <c r="AR60" s="349"/>
      <c r="AS60" s="252"/>
      <c r="AT60" s="419"/>
      <c r="AU60" s="349"/>
      <c r="AV60" s="349"/>
      <c r="AW60" s="161"/>
      <c r="AX60" s="9"/>
      <c r="AY60" s="9"/>
      <c r="AZ60" s="13"/>
      <c r="BA60" s="372"/>
      <c r="BB60" s="161"/>
      <c r="BC60" s="9"/>
      <c r="BD60" s="13"/>
      <c r="BE60" s="372"/>
      <c r="BF60" s="161"/>
      <c r="BG60" s="9"/>
      <c r="BH60" s="13"/>
      <c r="BI60" s="372"/>
      <c r="BJ60" s="161"/>
      <c r="BK60" s="9"/>
      <c r="BL60" s="13"/>
      <c r="BM60" s="372"/>
      <c r="BN60" s="161"/>
      <c r="BO60" s="9"/>
      <c r="BP60" s="124"/>
      <c r="BQ60" s="124"/>
      <c r="BR60" s="124"/>
      <c r="BS60" s="124"/>
      <c r="BT60" s="123"/>
      <c r="BU60" s="9"/>
      <c r="BV60" s="124"/>
      <c r="BW60" s="124"/>
      <c r="BX60" s="124"/>
      <c r="BY60" s="124"/>
      <c r="BZ60" s="123"/>
      <c r="CA60" s="142"/>
    </row>
    <row r="61" spans="2:79">
      <c r="B61" s="5"/>
      <c r="C61" s="289"/>
      <c r="D61" s="5"/>
      <c r="E61" s="5"/>
      <c r="F61" s="123"/>
      <c r="G61" s="375"/>
      <c r="H61" s="444"/>
      <c r="I61" s="298"/>
      <c r="J61" s="343"/>
      <c r="K61" s="343"/>
      <c r="L61" s="343"/>
      <c r="M61" s="343"/>
      <c r="N61" s="343"/>
      <c r="O61" s="343"/>
      <c r="P61" s="343"/>
      <c r="Q61" s="343"/>
      <c r="R61" s="343"/>
      <c r="S61" s="343"/>
      <c r="T61" s="343"/>
      <c r="U61" s="343"/>
      <c r="V61" s="46"/>
      <c r="W61" s="46"/>
      <c r="X61" s="177"/>
      <c r="Y61" s="381"/>
      <c r="Z61" s="257"/>
      <c r="AA61" s="257"/>
      <c r="AB61" s="257"/>
      <c r="AC61" s="251"/>
      <c r="AD61" s="382"/>
      <c r="AE61" s="46"/>
      <c r="AF61" s="391"/>
      <c r="AG61" s="391"/>
      <c r="AH61" s="344"/>
      <c r="AI61" s="418"/>
      <c r="AJ61" s="161"/>
      <c r="AK61" s="252"/>
      <c r="AL61" s="252"/>
      <c r="AM61" s="252"/>
      <c r="AN61" s="252"/>
      <c r="AO61" s="161"/>
      <c r="AP61" s="372"/>
      <c r="AQ61" s="252"/>
      <c r="AR61" s="349"/>
      <c r="AS61" s="252"/>
      <c r="AT61" s="419"/>
      <c r="AU61" s="349"/>
      <c r="AV61" s="349"/>
      <c r="AW61" s="161"/>
      <c r="AX61" s="9"/>
      <c r="AY61" s="9"/>
      <c r="AZ61" s="13"/>
      <c r="BA61" s="372"/>
      <c r="BB61" s="161"/>
      <c r="BC61" s="9"/>
      <c r="BD61" s="13"/>
      <c r="BE61" s="372"/>
      <c r="BF61" s="161"/>
      <c r="BG61" s="9"/>
      <c r="BH61" s="13"/>
      <c r="BI61" s="372"/>
      <c r="BJ61" s="161"/>
      <c r="BK61" s="9"/>
      <c r="BL61" s="13"/>
      <c r="BM61" s="372"/>
      <c r="BN61" s="161"/>
      <c r="BO61" s="9"/>
      <c r="BP61" s="124"/>
      <c r="BQ61" s="124"/>
      <c r="BR61" s="124"/>
      <c r="BS61" s="124"/>
      <c r="BT61" s="123"/>
      <c r="BU61" s="9"/>
      <c r="BV61" s="124"/>
      <c r="BW61" s="124"/>
      <c r="BX61" s="124"/>
      <c r="BY61" s="124"/>
      <c r="BZ61" s="123"/>
      <c r="CA61" s="142"/>
    </row>
    <row r="62" spans="2:79">
      <c r="B62" s="159"/>
      <c r="C62" s="55"/>
      <c r="D62" s="55"/>
      <c r="E62" s="55"/>
      <c r="F62" s="123"/>
      <c r="G62" s="375"/>
      <c r="H62" s="444"/>
      <c r="I62" s="298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46"/>
      <c r="W62" s="46"/>
      <c r="X62" s="177"/>
      <c r="Y62" s="381"/>
      <c r="Z62" s="257"/>
      <c r="AA62" s="257"/>
      <c r="AB62" s="257"/>
      <c r="AC62" s="251"/>
      <c r="AD62" s="382"/>
      <c r="AE62" s="46"/>
      <c r="AF62" s="391"/>
      <c r="AG62" s="391"/>
      <c r="AH62" s="344"/>
      <c r="AI62" s="418"/>
      <c r="AJ62" s="161"/>
      <c r="AK62" s="252"/>
      <c r="AL62" s="252"/>
      <c r="AM62" s="252"/>
      <c r="AN62" s="252"/>
      <c r="AO62" s="161"/>
      <c r="AP62" s="372"/>
      <c r="AQ62" s="252"/>
      <c r="AR62" s="349"/>
      <c r="AS62" s="252"/>
      <c r="AT62" s="419"/>
      <c r="AU62" s="349"/>
      <c r="AV62" s="349"/>
      <c r="AW62" s="161"/>
      <c r="AX62" s="9"/>
      <c r="AY62" s="9"/>
      <c r="AZ62" s="13"/>
      <c r="BA62" s="372"/>
      <c r="BB62" s="161"/>
      <c r="BC62" s="9"/>
      <c r="BD62" s="13"/>
      <c r="BE62" s="372"/>
      <c r="BF62" s="161"/>
      <c r="BG62" s="9"/>
      <c r="BH62" s="13"/>
      <c r="BI62" s="372"/>
      <c r="BJ62" s="161"/>
      <c r="BK62" s="9"/>
      <c r="BL62" s="13"/>
      <c r="BM62" s="372"/>
      <c r="BN62" s="161"/>
      <c r="BO62" s="9"/>
      <c r="BP62" s="124"/>
      <c r="BQ62" s="124"/>
      <c r="BR62" s="124"/>
      <c r="BS62" s="124"/>
      <c r="BT62" s="123"/>
      <c r="BU62" s="9"/>
      <c r="BV62" s="124"/>
      <c r="BW62" s="124"/>
      <c r="BX62" s="124"/>
      <c r="BY62" s="124"/>
      <c r="BZ62" s="123"/>
      <c r="CA62" s="142"/>
    </row>
    <row r="63" spans="2:79">
      <c r="B63" s="166"/>
      <c r="C63" s="122"/>
      <c r="D63" s="157"/>
      <c r="E63" s="157"/>
      <c r="F63" s="123"/>
      <c r="G63" s="375"/>
      <c r="H63" s="444"/>
      <c r="I63" s="298"/>
      <c r="J63" s="343"/>
      <c r="K63" s="343"/>
      <c r="L63" s="343"/>
      <c r="M63" s="343"/>
      <c r="N63" s="343"/>
      <c r="O63" s="343"/>
      <c r="P63" s="343"/>
      <c r="Q63" s="343"/>
      <c r="R63" s="343"/>
      <c r="S63" s="343"/>
      <c r="T63" s="343"/>
      <c r="U63" s="343"/>
      <c r="V63" s="46"/>
      <c r="W63" s="46"/>
      <c r="X63" s="177"/>
      <c r="Y63" s="381"/>
      <c r="Z63" s="257"/>
      <c r="AA63" s="257"/>
      <c r="AB63" s="257"/>
      <c r="AC63" s="251"/>
      <c r="AD63" s="382"/>
      <c r="AE63" s="46"/>
      <c r="AF63" s="391"/>
      <c r="AG63" s="391"/>
      <c r="AH63" s="344"/>
      <c r="AI63" s="418"/>
      <c r="AJ63" s="161"/>
      <c r="AK63" s="252"/>
      <c r="AL63" s="252"/>
      <c r="AM63" s="252"/>
      <c r="AN63" s="252"/>
      <c r="AO63" s="161"/>
      <c r="AP63" s="372"/>
      <c r="AQ63" s="252"/>
      <c r="AR63" s="349"/>
      <c r="AS63" s="252"/>
      <c r="AT63" s="419"/>
      <c r="AU63" s="349"/>
      <c r="AV63" s="349"/>
      <c r="AW63" s="161"/>
      <c r="AX63" s="9"/>
      <c r="AY63" s="9"/>
      <c r="AZ63" s="13"/>
      <c r="BA63" s="372"/>
      <c r="BB63" s="161"/>
      <c r="BC63" s="9"/>
      <c r="BD63" s="13"/>
      <c r="BE63" s="372"/>
      <c r="BF63" s="161"/>
      <c r="BG63" s="9"/>
      <c r="BH63" s="13"/>
      <c r="BI63" s="372"/>
      <c r="BJ63" s="161"/>
      <c r="BK63" s="9"/>
      <c r="BL63" s="13"/>
      <c r="BM63" s="372"/>
      <c r="BN63" s="161"/>
      <c r="BO63" s="9"/>
      <c r="BP63" s="124"/>
      <c r="BQ63" s="124"/>
      <c r="BR63" s="124"/>
      <c r="BS63" s="124"/>
      <c r="BT63" s="123"/>
      <c r="BU63" s="9"/>
      <c r="BV63" s="124"/>
      <c r="BW63" s="124"/>
      <c r="BX63" s="124"/>
      <c r="BY63" s="124"/>
      <c r="BZ63" s="123"/>
      <c r="CA63" s="142"/>
    </row>
    <row r="64" spans="2:79">
      <c r="B64" s="288"/>
      <c r="C64" s="9"/>
      <c r="D64" s="9"/>
      <c r="E64" s="9"/>
      <c r="F64" s="123"/>
      <c r="G64" s="260"/>
      <c r="H64" s="444"/>
      <c r="I64" s="298"/>
      <c r="J64" s="343"/>
      <c r="K64" s="343"/>
      <c r="L64" s="343"/>
      <c r="M64" s="343"/>
      <c r="N64" s="343"/>
      <c r="O64" s="343"/>
      <c r="P64" s="343"/>
      <c r="Q64" s="343"/>
      <c r="R64" s="343"/>
      <c r="S64" s="343"/>
      <c r="T64" s="343"/>
      <c r="U64" s="343"/>
      <c r="V64" s="46"/>
      <c r="W64" s="46"/>
      <c r="X64" s="177"/>
      <c r="Y64" s="381"/>
      <c r="Z64" s="257"/>
      <c r="AA64" s="257"/>
      <c r="AB64" s="257"/>
      <c r="AC64" s="251"/>
      <c r="AD64" s="382"/>
      <c r="AE64" s="46"/>
      <c r="AF64" s="391"/>
      <c r="AG64" s="391"/>
      <c r="AH64" s="344"/>
      <c r="AI64" s="418"/>
      <c r="AJ64" s="161"/>
      <c r="AK64" s="252"/>
      <c r="AL64" s="252"/>
      <c r="AM64" s="252"/>
      <c r="AN64" s="252"/>
      <c r="AO64" s="161"/>
      <c r="AP64" s="372"/>
      <c r="AQ64" s="252"/>
      <c r="AR64" s="349"/>
      <c r="AS64" s="252"/>
      <c r="AT64" s="419"/>
      <c r="AU64" s="349"/>
      <c r="AV64" s="349"/>
      <c r="AW64" s="161"/>
      <c r="AX64" s="9"/>
      <c r="AY64" s="9"/>
      <c r="AZ64" s="13"/>
      <c r="BA64" s="372"/>
      <c r="BB64" s="161"/>
      <c r="BC64" s="9"/>
      <c r="BD64" s="13"/>
      <c r="BE64" s="372"/>
      <c r="BF64" s="161"/>
      <c r="BG64" s="9"/>
      <c r="BH64" s="13"/>
      <c r="BI64" s="372"/>
      <c r="BJ64" s="161"/>
      <c r="BK64" s="9"/>
      <c r="BL64" s="13"/>
      <c r="BM64" s="372"/>
      <c r="BN64" s="161"/>
      <c r="BO64" s="9"/>
      <c r="BP64" s="124"/>
      <c r="BQ64" s="124"/>
      <c r="BR64" s="124"/>
      <c r="BS64" s="124"/>
      <c r="BT64" s="123"/>
      <c r="BU64" s="9"/>
      <c r="BV64" s="124"/>
      <c r="BW64" s="124"/>
      <c r="BX64" s="124"/>
      <c r="BY64" s="124"/>
      <c r="BZ64" s="123"/>
      <c r="CA64" s="142"/>
    </row>
    <row r="65" spans="2:83">
      <c r="B65" s="5"/>
      <c r="C65" s="289"/>
      <c r="D65" s="5"/>
      <c r="E65" s="5"/>
      <c r="F65" s="123"/>
      <c r="G65" s="260"/>
      <c r="H65" s="444"/>
      <c r="I65" s="298"/>
      <c r="J65" s="343"/>
      <c r="K65" s="343"/>
      <c r="L65" s="343"/>
      <c r="M65" s="343"/>
      <c r="N65" s="343"/>
      <c r="O65" s="343"/>
      <c r="P65" s="343"/>
      <c r="Q65" s="343"/>
      <c r="R65" s="343"/>
      <c r="S65" s="343"/>
      <c r="T65" s="343"/>
      <c r="U65" s="343"/>
      <c r="V65" s="46"/>
      <c r="W65" s="46"/>
      <c r="X65" s="177"/>
      <c r="Y65" s="381"/>
      <c r="Z65" s="257"/>
      <c r="AA65" s="257"/>
      <c r="AB65" s="257"/>
      <c r="AC65" s="251"/>
      <c r="AD65" s="382"/>
      <c r="AE65" s="46"/>
      <c r="AF65" s="391"/>
      <c r="AG65" s="391"/>
      <c r="AH65" s="344"/>
      <c r="AI65" s="418"/>
      <c r="AJ65" s="161"/>
      <c r="AK65" s="252"/>
      <c r="AL65" s="252"/>
      <c r="AM65" s="252"/>
      <c r="AN65" s="252"/>
      <c r="AO65" s="161"/>
      <c r="AP65" s="372"/>
      <c r="AQ65" s="252"/>
      <c r="AR65" s="349"/>
      <c r="AS65" s="252"/>
      <c r="AT65" s="419"/>
      <c r="AU65" s="349"/>
      <c r="AV65" s="349"/>
      <c r="AW65" s="161"/>
      <c r="AX65" s="9"/>
      <c r="AY65" s="9"/>
      <c r="AZ65" s="13"/>
      <c r="BA65" s="372"/>
      <c r="BB65" s="161"/>
      <c r="BC65" s="9"/>
      <c r="BD65" s="13"/>
      <c r="BE65" s="372"/>
      <c r="BF65" s="161"/>
      <c r="BG65" s="9"/>
      <c r="BH65" s="13"/>
      <c r="BI65" s="372"/>
      <c r="BJ65" s="161"/>
      <c r="BK65" s="9"/>
      <c r="BL65" s="13"/>
      <c r="BM65" s="372"/>
      <c r="BN65" s="161"/>
      <c r="BO65" s="9"/>
      <c r="BP65" s="124"/>
      <c r="BQ65" s="124"/>
      <c r="BR65" s="124"/>
      <c r="BS65" s="124"/>
      <c r="BT65" s="123"/>
      <c r="BU65" s="9"/>
      <c r="BV65" s="124"/>
      <c r="BW65" s="124"/>
      <c r="BX65" s="124"/>
      <c r="BY65" s="124"/>
      <c r="BZ65" s="123"/>
      <c r="CA65" s="142"/>
    </row>
    <row r="66" spans="2:83">
      <c r="B66" s="5"/>
      <c r="C66" s="289"/>
      <c r="D66" s="5"/>
      <c r="E66" s="5"/>
      <c r="F66" s="123"/>
      <c r="G66" s="374"/>
      <c r="H66" s="444"/>
      <c r="I66" s="298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46"/>
      <c r="W66" s="46"/>
      <c r="X66" s="177"/>
      <c r="Y66" s="381"/>
      <c r="Z66" s="257"/>
      <c r="AA66" s="257"/>
      <c r="AB66" s="257"/>
      <c r="AC66" s="251"/>
      <c r="AD66" s="382"/>
      <c r="AE66" s="46"/>
      <c r="AF66" s="391"/>
      <c r="AG66" s="391"/>
      <c r="AH66" s="344"/>
      <c r="AI66" s="418"/>
      <c r="AJ66" s="161"/>
      <c r="AK66" s="252"/>
      <c r="AL66" s="252"/>
      <c r="AM66" s="252"/>
      <c r="AN66" s="252"/>
      <c r="AO66" s="161"/>
      <c r="AP66" s="372"/>
      <c r="AQ66" s="252"/>
      <c r="AR66" s="349"/>
      <c r="AS66" s="252"/>
      <c r="AT66" s="419"/>
      <c r="AU66" s="349"/>
      <c r="AV66" s="349"/>
      <c r="AW66" s="161"/>
      <c r="AX66" s="9"/>
      <c r="AY66" s="9"/>
      <c r="AZ66" s="13"/>
      <c r="BA66" s="372"/>
      <c r="BB66" s="161"/>
      <c r="BC66" s="9"/>
      <c r="BD66" s="13"/>
      <c r="BE66" s="372"/>
      <c r="BF66" s="161"/>
      <c r="BG66" s="9"/>
      <c r="BH66" s="13"/>
      <c r="BI66" s="372"/>
      <c r="BJ66" s="161"/>
      <c r="BK66" s="9"/>
      <c r="BL66" s="13"/>
      <c r="BM66" s="372"/>
      <c r="BN66" s="161"/>
      <c r="BO66" s="9"/>
      <c r="BP66" s="124"/>
      <c r="BQ66" s="124"/>
      <c r="BR66" s="124"/>
      <c r="BS66" s="124"/>
      <c r="BT66" s="123"/>
      <c r="BU66" s="9"/>
      <c r="BV66" s="124"/>
      <c r="BW66" s="124"/>
      <c r="BX66" s="124"/>
      <c r="BY66" s="124"/>
      <c r="BZ66" s="123"/>
      <c r="CA66" s="142"/>
    </row>
    <row r="67" spans="2:83">
      <c r="B67" s="5"/>
      <c r="C67" s="289"/>
      <c r="D67" s="9"/>
      <c r="F67" s="123"/>
      <c r="G67" s="374"/>
      <c r="H67" s="444"/>
      <c r="I67" s="298"/>
      <c r="J67" s="343"/>
      <c r="K67" s="343"/>
      <c r="L67" s="343"/>
      <c r="M67" s="343"/>
      <c r="N67" s="343"/>
      <c r="O67" s="343"/>
      <c r="P67" s="343"/>
      <c r="Q67" s="343"/>
      <c r="R67" s="343"/>
      <c r="S67" s="343"/>
      <c r="T67" s="343"/>
      <c r="U67" s="343"/>
      <c r="V67" s="46"/>
      <c r="W67" s="46"/>
      <c r="X67" s="177"/>
      <c r="Y67" s="381"/>
      <c r="Z67" s="257"/>
      <c r="AA67" s="257"/>
      <c r="AB67" s="257"/>
      <c r="AC67" s="251"/>
      <c r="AD67" s="382"/>
      <c r="AE67" s="46"/>
      <c r="AF67" s="391"/>
      <c r="AG67" s="391"/>
      <c r="AH67" s="344"/>
      <c r="AI67" s="418"/>
      <c r="AJ67" s="161"/>
      <c r="AK67" s="252"/>
      <c r="AL67" s="252"/>
      <c r="AM67" s="252"/>
      <c r="AN67" s="252"/>
      <c r="AO67" s="161"/>
      <c r="AP67" s="372"/>
      <c r="AQ67" s="252"/>
      <c r="AR67" s="349"/>
      <c r="AS67" s="252"/>
      <c r="AT67" s="419"/>
      <c r="AU67" s="349"/>
      <c r="AV67" s="349"/>
      <c r="AW67" s="161"/>
      <c r="AX67" s="9"/>
      <c r="AY67" s="9"/>
      <c r="AZ67" s="13"/>
      <c r="BA67" s="372"/>
      <c r="BB67" s="161"/>
      <c r="BC67" s="9"/>
      <c r="BD67" s="13"/>
      <c r="BE67" s="372"/>
      <c r="BF67" s="161"/>
      <c r="BG67" s="9"/>
      <c r="BH67" s="13"/>
      <c r="BI67" s="372"/>
      <c r="BJ67" s="161"/>
      <c r="BK67" s="9"/>
      <c r="BL67" s="13"/>
      <c r="BM67" s="372"/>
      <c r="BN67" s="161"/>
      <c r="BO67" s="9"/>
      <c r="BP67" s="124"/>
      <c r="BQ67" s="124"/>
      <c r="BR67" s="124"/>
      <c r="BS67" s="124"/>
      <c r="BT67" s="123"/>
      <c r="BU67" s="9"/>
      <c r="BV67" s="124"/>
      <c r="BW67" s="124"/>
      <c r="BX67" s="124"/>
      <c r="BY67" s="124"/>
      <c r="BZ67" s="123"/>
      <c r="CA67" s="142"/>
    </row>
    <row r="68" spans="2:83">
      <c r="B68" s="5"/>
      <c r="C68" s="289"/>
      <c r="D68" s="5"/>
      <c r="E68" s="5"/>
      <c r="F68" s="123"/>
      <c r="G68" s="375"/>
      <c r="H68" s="376"/>
      <c r="I68" s="298"/>
      <c r="J68" s="343"/>
      <c r="K68" s="343"/>
      <c r="L68" s="343"/>
      <c r="M68" s="343"/>
      <c r="N68" s="343"/>
      <c r="O68" s="343"/>
      <c r="P68" s="343"/>
      <c r="Q68" s="343"/>
      <c r="R68" s="343"/>
      <c r="S68" s="343"/>
      <c r="T68" s="343"/>
      <c r="U68" s="343"/>
      <c r="V68" s="46"/>
      <c r="W68" s="46"/>
      <c r="X68" s="177"/>
      <c r="Y68" s="381"/>
      <c r="Z68" s="257"/>
      <c r="AA68" s="257"/>
      <c r="AB68" s="257"/>
      <c r="AC68" s="251"/>
      <c r="AD68" s="382"/>
      <c r="AE68" s="46"/>
      <c r="AF68" s="391"/>
      <c r="AG68" s="391"/>
      <c r="AH68" s="344"/>
      <c r="AI68" s="418"/>
      <c r="AJ68" s="161"/>
      <c r="AK68" s="252"/>
      <c r="AL68" s="252"/>
      <c r="AM68" s="252"/>
      <c r="AN68" s="252"/>
      <c r="AO68" s="161"/>
      <c r="AP68" s="372"/>
      <c r="AQ68" s="252"/>
      <c r="AR68" s="349"/>
      <c r="AS68" s="252"/>
      <c r="AT68" s="419"/>
      <c r="AU68" s="349"/>
      <c r="AV68" s="349"/>
      <c r="AW68" s="161"/>
      <c r="AX68" s="9"/>
      <c r="AY68" s="9"/>
      <c r="AZ68" s="13"/>
      <c r="BA68" s="372"/>
      <c r="BB68" s="161"/>
      <c r="BC68" s="9"/>
      <c r="BD68" s="13"/>
      <c r="BE68" s="372"/>
      <c r="BF68" s="161"/>
      <c r="BG68" s="9"/>
      <c r="BH68" s="13"/>
      <c r="BI68" s="372"/>
      <c r="BJ68" s="161"/>
      <c r="BK68" s="9"/>
      <c r="BL68" s="13"/>
      <c r="BM68" s="372"/>
      <c r="BN68" s="161"/>
      <c r="BO68" s="9"/>
      <c r="BP68" s="124"/>
      <c r="BQ68" s="124"/>
      <c r="BR68" s="124"/>
      <c r="BS68" s="124"/>
      <c r="BT68" s="123"/>
      <c r="BU68" s="9"/>
      <c r="BV68" s="124"/>
      <c r="BW68" s="124"/>
      <c r="BX68" s="124"/>
      <c r="BY68" s="124"/>
      <c r="BZ68" s="123"/>
      <c r="CA68" s="142"/>
    </row>
    <row r="69" spans="2:83">
      <c r="B69" s="159"/>
      <c r="C69" s="55"/>
      <c r="D69" s="55"/>
      <c r="E69" s="55"/>
      <c r="F69" s="123"/>
      <c r="G69" s="375"/>
      <c r="H69" s="376"/>
      <c r="I69" s="298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3"/>
      <c r="V69" s="46"/>
      <c r="W69" s="46"/>
      <c r="X69" s="177"/>
      <c r="Y69" s="381"/>
      <c r="Z69" s="257"/>
      <c r="AA69" s="257"/>
      <c r="AB69" s="257"/>
      <c r="AC69" s="251"/>
      <c r="AD69" s="382"/>
      <c r="AE69" s="46"/>
      <c r="AF69" s="391"/>
      <c r="AG69" s="391"/>
      <c r="AH69" s="344"/>
      <c r="AI69" s="418"/>
      <c r="AJ69" s="161"/>
      <c r="AK69" s="252"/>
      <c r="AL69" s="252"/>
      <c r="AM69" s="252"/>
      <c r="AN69" s="252"/>
      <c r="AO69" s="161"/>
      <c r="AP69" s="372"/>
      <c r="AQ69" s="252"/>
      <c r="AR69" s="349"/>
      <c r="AS69" s="252"/>
      <c r="AT69" s="419"/>
      <c r="AU69" s="349"/>
      <c r="AV69" s="349"/>
      <c r="AW69" s="161"/>
      <c r="AX69" s="9"/>
      <c r="AY69" s="9"/>
      <c r="AZ69" s="13"/>
      <c r="BA69" s="372"/>
      <c r="BB69" s="161"/>
      <c r="BC69" s="9"/>
      <c r="BD69" s="13"/>
      <c r="BE69" s="372"/>
      <c r="BF69" s="161"/>
      <c r="BG69" s="9"/>
      <c r="BH69" s="13"/>
      <c r="BI69" s="372"/>
      <c r="BJ69" s="161"/>
      <c r="BK69" s="9"/>
      <c r="BL69" s="13"/>
      <c r="BM69" s="372"/>
      <c r="BN69" s="161"/>
      <c r="BO69" s="9"/>
      <c r="BP69" s="124"/>
      <c r="BQ69" s="124"/>
      <c r="BR69" s="124"/>
      <c r="BS69" s="124"/>
      <c r="BT69" s="123"/>
      <c r="BU69" s="9"/>
      <c r="BV69" s="124"/>
      <c r="BW69" s="124"/>
      <c r="BX69" s="124"/>
      <c r="BY69" s="124"/>
      <c r="BZ69" s="123"/>
      <c r="CA69" s="142"/>
    </row>
    <row r="70" spans="2:83">
      <c r="B70" s="166"/>
      <c r="C70" s="122"/>
      <c r="D70" s="157"/>
      <c r="E70" s="157"/>
      <c r="F70" s="123"/>
      <c r="G70" s="375"/>
      <c r="H70" s="376"/>
      <c r="I70" s="298"/>
      <c r="J70" s="343"/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46"/>
      <c r="W70" s="46"/>
      <c r="X70" s="177"/>
      <c r="Y70" s="381"/>
      <c r="Z70" s="257"/>
      <c r="AA70" s="257"/>
      <c r="AB70" s="257"/>
      <c r="AC70" s="251"/>
      <c r="AD70" s="382"/>
      <c r="AE70" s="46"/>
      <c r="AF70" s="46"/>
      <c r="AG70" s="46"/>
      <c r="AH70" s="344"/>
      <c r="AI70" s="418"/>
      <c r="AJ70" s="161"/>
      <c r="AK70" s="252"/>
      <c r="AL70" s="252"/>
      <c r="AM70" s="252"/>
      <c r="AN70" s="252"/>
      <c r="AO70" s="161"/>
      <c r="AP70" s="372"/>
      <c r="AQ70" s="252"/>
      <c r="AR70" s="350"/>
      <c r="AS70" s="252"/>
      <c r="AT70" s="419"/>
      <c r="AU70" s="350"/>
      <c r="AV70" s="350"/>
      <c r="AW70" s="161"/>
      <c r="AX70" s="9"/>
      <c r="AY70" s="9"/>
      <c r="AZ70" s="13"/>
      <c r="BA70" s="372"/>
      <c r="BB70" s="161"/>
      <c r="BC70" s="9"/>
      <c r="BD70" s="13"/>
      <c r="BE70" s="372"/>
      <c r="BF70" s="161"/>
      <c r="BG70" s="9"/>
      <c r="BH70" s="13"/>
      <c r="BI70" s="372"/>
      <c r="BJ70" s="161"/>
      <c r="BK70" s="9"/>
      <c r="BL70" s="13"/>
      <c r="BM70" s="372"/>
      <c r="BN70" s="161"/>
      <c r="BO70" s="9"/>
      <c r="BP70" s="124"/>
      <c r="BQ70" s="124"/>
      <c r="BR70" s="124"/>
      <c r="BS70" s="124"/>
      <c r="BT70" s="123"/>
      <c r="BU70" s="9"/>
      <c r="BV70" s="124"/>
      <c r="BW70" s="124"/>
      <c r="BX70" s="124"/>
      <c r="BY70" s="124"/>
      <c r="BZ70" s="123"/>
      <c r="CA70" s="142"/>
    </row>
    <row r="71" spans="2:83">
      <c r="B71" s="177"/>
      <c r="C71" s="6"/>
      <c r="D71" s="288"/>
      <c r="E71" s="17"/>
      <c r="F71" s="123"/>
      <c r="G71" s="375"/>
      <c r="H71" s="376"/>
      <c r="I71" s="298"/>
      <c r="J71" s="343"/>
      <c r="K71" s="343"/>
      <c r="L71" s="343"/>
      <c r="M71" s="343"/>
      <c r="N71" s="343"/>
      <c r="O71" s="343"/>
      <c r="P71" s="343"/>
      <c r="Q71" s="343"/>
      <c r="R71" s="343"/>
      <c r="S71" s="343"/>
      <c r="T71" s="343"/>
      <c r="U71" s="343"/>
      <c r="V71" s="46"/>
      <c r="W71" s="46"/>
      <c r="X71" s="177"/>
      <c r="Y71" s="383"/>
      <c r="Z71" s="353"/>
      <c r="AA71" s="353"/>
      <c r="AB71" s="353"/>
      <c r="AC71" s="354"/>
      <c r="AD71" s="384"/>
      <c r="AE71" s="46"/>
      <c r="AF71" s="46"/>
      <c r="AG71" s="46"/>
      <c r="AH71" s="344"/>
      <c r="AI71" s="418"/>
      <c r="AJ71" s="161"/>
      <c r="AK71" s="252"/>
      <c r="AL71" s="252"/>
      <c r="AM71" s="252"/>
      <c r="AN71" s="252"/>
      <c r="AO71" s="161"/>
      <c r="AP71" s="372"/>
      <c r="AQ71" s="252"/>
      <c r="AR71" s="350"/>
      <c r="AS71" s="252"/>
      <c r="AT71" s="419"/>
      <c r="AU71" s="350"/>
      <c r="AV71" s="350"/>
      <c r="AW71" s="161"/>
      <c r="AX71" s="9"/>
      <c r="AY71" s="9"/>
      <c r="AZ71" s="13"/>
      <c r="BA71" s="372"/>
      <c r="BB71" s="161"/>
      <c r="BC71" s="9"/>
      <c r="BD71" s="13"/>
      <c r="BE71" s="372"/>
      <c r="BF71" s="161"/>
      <c r="BG71" s="9"/>
      <c r="BH71" s="13"/>
      <c r="BI71" s="372"/>
      <c r="BJ71" s="161"/>
      <c r="BK71" s="9"/>
      <c r="BL71" s="13"/>
      <c r="BM71" s="372"/>
      <c r="BN71" s="161"/>
      <c r="BO71" s="9"/>
      <c r="BP71" s="124"/>
      <c r="BQ71" s="124"/>
      <c r="BR71" s="124"/>
      <c r="BS71" s="124"/>
      <c r="BT71" s="123"/>
      <c r="BU71" s="9"/>
      <c r="BV71" s="124"/>
      <c r="BW71" s="124"/>
      <c r="BX71" s="124"/>
      <c r="BY71" s="124"/>
      <c r="BZ71" s="123"/>
      <c r="CA71" s="142"/>
    </row>
    <row r="72" spans="2:83">
      <c r="B72" s="291"/>
      <c r="C72" s="292"/>
      <c r="D72" s="293"/>
      <c r="E72" s="227"/>
      <c r="F72" s="10"/>
      <c r="I72" s="49"/>
      <c r="Y72" s="49" t="s">
        <v>183</v>
      </c>
      <c r="AJ72" s="10"/>
      <c r="AM72" s="9"/>
      <c r="AN72" s="9"/>
      <c r="AO72" s="9"/>
      <c r="AQ72" s="10"/>
      <c r="AR72" s="10"/>
      <c r="AS72" s="10"/>
      <c r="BB72" s="151"/>
      <c r="BF72" s="151"/>
      <c r="BJ72" s="151"/>
      <c r="BN72" s="151"/>
      <c r="BP72" s="9"/>
      <c r="BQ72" s="9"/>
      <c r="BR72" s="9"/>
      <c r="BS72" s="9"/>
      <c r="BV72" s="9"/>
      <c r="BW72" s="9"/>
      <c r="BX72" s="9"/>
      <c r="BY72" s="9"/>
    </row>
    <row r="73" spans="2:83">
      <c r="B73" s="9"/>
      <c r="C73" s="9"/>
      <c r="D73" s="9"/>
      <c r="F73" s="10"/>
      <c r="G73" s="49"/>
      <c r="I73" s="49"/>
      <c r="AJ73" s="10"/>
      <c r="AM73" s="9"/>
      <c r="AN73" s="9"/>
      <c r="AO73" s="9"/>
      <c r="AQ73" s="10"/>
      <c r="AR73" s="10"/>
      <c r="AS73" s="10"/>
      <c r="BB73" s="151"/>
      <c r="BF73" s="151"/>
      <c r="BJ73" s="151"/>
      <c r="BN73" s="151"/>
      <c r="BP73" s="9"/>
      <c r="BQ73" s="9"/>
      <c r="BR73" s="9"/>
      <c r="BS73" s="9"/>
      <c r="BV73" s="9"/>
      <c r="BW73" s="9"/>
      <c r="BX73" s="9"/>
      <c r="BY73" s="9"/>
    </row>
    <row r="74" spans="2:83" ht="19">
      <c r="B74" s="136" t="str">
        <f>WBtitle</f>
        <v>2018.07 Kr照射</v>
      </c>
      <c r="G74" s="49"/>
      <c r="AZ74" s="136" t="str">
        <f>WBtitle</f>
        <v>2018.07 Kr照射</v>
      </c>
    </row>
    <row r="75" spans="2:83" s="114" customFormat="1" ht="19">
      <c r="B75" s="115"/>
      <c r="C75" s="116" t="s">
        <v>150</v>
      </c>
      <c r="D75" s="117"/>
      <c r="E75" s="117"/>
      <c r="F75" s="117"/>
      <c r="G75" s="294"/>
      <c r="H75" s="294" t="str">
        <f>$D$7</f>
        <v>Kr</v>
      </c>
      <c r="I75" s="121"/>
      <c r="J75" s="198"/>
      <c r="AK75" s="121"/>
      <c r="AL75" s="121"/>
      <c r="AW75" s="121"/>
      <c r="AZ75" s="180"/>
      <c r="BA75" s="116" t="str">
        <f>$C75</f>
        <v>EDscIC 解析</v>
      </c>
      <c r="BB75" s="121"/>
      <c r="BF75" s="121"/>
      <c r="BH75" s="294" t="str">
        <f>$D$7</f>
        <v>Kr</v>
      </c>
      <c r="BJ75" s="121"/>
      <c r="BL75" s="463" t="s">
        <v>231</v>
      </c>
      <c r="BN75" s="121"/>
    </row>
    <row r="77" spans="2:83" ht="14">
      <c r="B77" s="300" t="s">
        <v>159</v>
      </c>
      <c r="C77" s="336" t="str">
        <f>$G$5</f>
        <v>scnEDic02_201807.dat</v>
      </c>
      <c r="X77" s="300"/>
      <c r="Y77" s="351"/>
      <c r="AC77" s="300"/>
      <c r="AD77" s="351"/>
      <c r="AS77" s="49" t="s">
        <v>184</v>
      </c>
    </row>
    <row r="78" spans="2:83" ht="14">
      <c r="B78" s="300" t="s">
        <v>158</v>
      </c>
      <c r="C78" s="337" t="str">
        <f>$G$6</f>
        <v>IC2 Range測定</v>
      </c>
      <c r="H78" s="254"/>
      <c r="S78" s="45"/>
      <c r="T78" s="45"/>
      <c r="U78" s="45"/>
      <c r="V78" s="255"/>
      <c r="W78" s="255"/>
      <c r="X78" s="300"/>
      <c r="Y78" s="351"/>
      <c r="Z78" s="45"/>
      <c r="AA78" s="45"/>
      <c r="AB78" s="45"/>
      <c r="AC78" s="300"/>
      <c r="AD78" s="420"/>
      <c r="AE78" s="255"/>
      <c r="AF78" s="255"/>
      <c r="AS78" s="25" t="s">
        <v>101</v>
      </c>
      <c r="AT78" s="16" t="s">
        <v>238</v>
      </c>
      <c r="AU78" s="16" t="s">
        <v>239</v>
      </c>
      <c r="AZ78" s="227"/>
      <c r="BA78" s="45"/>
      <c r="BB78" s="179"/>
      <c r="BC78" s="45"/>
      <c r="BD78" s="227"/>
      <c r="BE78" s="45"/>
      <c r="BF78" s="179"/>
      <c r="BG78" s="45"/>
      <c r="BH78" s="227"/>
      <c r="BI78" s="45"/>
      <c r="BJ78" s="179"/>
      <c r="BK78" s="45"/>
      <c r="BL78" s="227"/>
      <c r="BM78" s="45"/>
      <c r="BN78" s="179"/>
      <c r="BO78" s="45"/>
    </row>
    <row r="79" spans="2:83">
      <c r="G79" s="111"/>
      <c r="H79" s="111"/>
      <c r="I79" s="111"/>
      <c r="S79" s="45"/>
      <c r="T79" s="45"/>
      <c r="U79" s="45"/>
      <c r="V79" s="17"/>
      <c r="W79" s="17"/>
      <c r="X79" s="187"/>
      <c r="Y79" s="45"/>
      <c r="Z79" s="45"/>
      <c r="AA79" s="45"/>
      <c r="AB79" s="45"/>
      <c r="AC79" s="45"/>
      <c r="AD79" s="45"/>
      <c r="AE79" s="17"/>
      <c r="AF79" s="17"/>
      <c r="AS79" s="26" t="s">
        <v>110</v>
      </c>
      <c r="AT79" s="196" t="s">
        <v>49</v>
      </c>
      <c r="AU79" s="196" t="s">
        <v>49</v>
      </c>
      <c r="BA79" s="497">
        <f>COLUMN()</f>
        <v>53</v>
      </c>
      <c r="BB79" s="453" t="s">
        <v>222</v>
      </c>
      <c r="BC79" s="454"/>
      <c r="BD79" s="454"/>
      <c r="BE79" s="454"/>
      <c r="BF79" s="454"/>
      <c r="BG79" s="454"/>
      <c r="BH79" s="454"/>
      <c r="BI79" s="45"/>
      <c r="BJ79" s="179"/>
      <c r="BK79" s="45"/>
      <c r="BL79" s="55"/>
      <c r="BM79" s="45"/>
      <c r="BN79" s="179"/>
      <c r="BO79" s="45"/>
    </row>
    <row r="80" spans="2:83" s="10" customFormat="1">
      <c r="G80" s="111"/>
      <c r="H80" s="111"/>
      <c r="I80" s="111"/>
      <c r="J80" s="49"/>
      <c r="K80" s="49"/>
      <c r="L80" s="49"/>
      <c r="M80" s="49"/>
      <c r="N80" s="49"/>
      <c r="O80" s="49"/>
      <c r="P80" s="49"/>
      <c r="Q80" s="49"/>
      <c r="R80" s="49"/>
      <c r="S80" s="45"/>
      <c r="T80" s="45"/>
      <c r="U80" s="45"/>
      <c r="V80" s="256"/>
      <c r="W80" s="256"/>
      <c r="AP80" s="49"/>
      <c r="AQ80" s="49"/>
      <c r="AR80" s="49"/>
      <c r="AS80" s="197">
        <v>0.1</v>
      </c>
      <c r="AT80" s="472">
        <f ca="1">$AS80/$AT$5+$AT$6</f>
        <v>3.214100432655081E-9</v>
      </c>
      <c r="AU80" s="472">
        <f ca="1">$AS80/$AQ$5+$AQ$6</f>
        <v>3.5415372651675833E-9</v>
      </c>
      <c r="AV80" s="49"/>
      <c r="AX80" s="49"/>
      <c r="AY80" s="49"/>
      <c r="AZ80" s="49"/>
      <c r="BA80" s="480" t="s">
        <v>223</v>
      </c>
      <c r="BB80" s="483" t="s">
        <v>224</v>
      </c>
      <c r="BC80" s="484" t="s">
        <v>225</v>
      </c>
      <c r="BD80" s="483" t="s">
        <v>253</v>
      </c>
      <c r="BE80" s="484" t="s">
        <v>254</v>
      </c>
      <c r="BF80" s="479" t="s">
        <v>226</v>
      </c>
      <c r="BG80" s="479"/>
      <c r="BH80" s="4"/>
      <c r="BI80" s="45"/>
      <c r="BJ80" s="179"/>
      <c r="BK80" s="45"/>
      <c r="BL80" s="256"/>
      <c r="BM80" s="45"/>
      <c r="BN80" s="179"/>
      <c r="BO80" s="45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</row>
    <row r="81" spans="2:83" s="10" customFormat="1">
      <c r="G81" s="111"/>
      <c r="H81" s="111"/>
      <c r="I81" s="111"/>
      <c r="J81" s="11"/>
      <c r="K81" s="11"/>
      <c r="L81" s="12"/>
      <c r="M81" s="12"/>
      <c r="N81" s="12"/>
      <c r="O81" s="12"/>
      <c r="P81" s="12"/>
      <c r="Q81" s="12"/>
      <c r="R81" s="12"/>
      <c r="S81" s="195"/>
      <c r="T81" s="195"/>
      <c r="U81" s="195"/>
      <c r="V81" s="7"/>
      <c r="W81" s="7"/>
      <c r="AP81" s="49"/>
      <c r="AQ81" s="49"/>
      <c r="AR81" s="49"/>
      <c r="AS81" s="197">
        <v>0.5</v>
      </c>
      <c r="AT81" s="472">
        <f t="shared" ref="AT81:AT87" ca="1" si="53">AS81/$AT$5+$AT$6</f>
        <v>4.5582556355213132E-9</v>
      </c>
      <c r="AU81" s="472">
        <f t="shared" ref="AU81:AU87" ca="1" si="54">$AS81/$AQ$5+$AQ$6</f>
        <v>4.8581024220455867E-9</v>
      </c>
      <c r="AV81" s="49"/>
      <c r="AX81" s="49"/>
      <c r="AY81" s="49"/>
      <c r="AZ81" s="497">
        <f>ROW()</f>
        <v>81</v>
      </c>
      <c r="BA81" s="481" t="s">
        <v>240</v>
      </c>
      <c r="BB81" s="485">
        <v>0</v>
      </c>
      <c r="BC81" s="486">
        <v>1000</v>
      </c>
      <c r="BD81" s="485">
        <v>0</v>
      </c>
      <c r="BE81" s="486">
        <v>15</v>
      </c>
      <c r="BF81" s="475" t="s">
        <v>235</v>
      </c>
      <c r="BG81" s="455"/>
      <c r="BH81" s="1"/>
      <c r="BI81" s="45"/>
      <c r="BJ81" s="179"/>
      <c r="BK81" s="45"/>
      <c r="BL81" s="258"/>
      <c r="BM81" s="45"/>
      <c r="BN81" s="179"/>
      <c r="BO81" s="45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</row>
    <row r="82" spans="2:83" s="10" customFormat="1">
      <c r="G82" s="111"/>
      <c r="H82" s="111"/>
      <c r="I82" s="111"/>
      <c r="J82" s="11"/>
      <c r="K82" s="11"/>
      <c r="L82" s="12"/>
      <c r="M82" s="12"/>
      <c r="N82" s="12"/>
      <c r="O82" s="12"/>
      <c r="P82" s="12"/>
      <c r="Q82" s="12"/>
      <c r="R82" s="12"/>
      <c r="S82" s="195"/>
      <c r="T82" s="195"/>
      <c r="U82" s="195"/>
      <c r="V82" s="7"/>
      <c r="W82" s="7"/>
      <c r="AP82" s="49"/>
      <c r="AQ82" s="49"/>
      <c r="AR82" s="49"/>
      <c r="AS82" s="197">
        <v>1</v>
      </c>
      <c r="AT82" s="472">
        <f t="shared" ca="1" si="53"/>
        <v>6.2384496391041036E-9</v>
      </c>
      <c r="AU82" s="472">
        <f t="shared" ca="1" si="54"/>
        <v>6.5038088681430902E-9</v>
      </c>
      <c r="AV82" s="49"/>
      <c r="AX82" s="49"/>
      <c r="AY82" s="49"/>
      <c r="AZ82" s="497">
        <v>2</v>
      </c>
      <c r="BA82" s="481" t="s">
        <v>241</v>
      </c>
      <c r="BB82" s="485">
        <v>700</v>
      </c>
      <c r="BC82" s="486">
        <v>950</v>
      </c>
      <c r="BD82" s="487">
        <f>BD81</f>
        <v>0</v>
      </c>
      <c r="BE82" s="488">
        <f>BE81</f>
        <v>15</v>
      </c>
      <c r="BF82" s="456" t="str">
        <f>BF$81</f>
        <v>IC2(norm_Ecal)</v>
      </c>
      <c r="BG82" s="455"/>
      <c r="BH82" s="1"/>
      <c r="BI82" s="45"/>
      <c r="BJ82" s="179"/>
      <c r="BK82" s="45"/>
      <c r="BL82" s="258"/>
      <c r="BM82" s="45"/>
      <c r="BN82" s="179"/>
      <c r="BO82" s="45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</row>
    <row r="83" spans="2:83" s="10" customFormat="1">
      <c r="G83" s="111"/>
      <c r="H83" s="111"/>
      <c r="I83" s="111"/>
      <c r="J83" s="11"/>
      <c r="K83" s="11"/>
      <c r="L83" s="12"/>
      <c r="M83" s="12"/>
      <c r="N83" s="12"/>
      <c r="O83" s="12"/>
      <c r="P83" s="12"/>
      <c r="Q83" s="12"/>
      <c r="R83" s="12"/>
      <c r="S83" s="195"/>
      <c r="T83" s="195"/>
      <c r="U83" s="195"/>
      <c r="V83" s="9"/>
      <c r="W83" s="9"/>
      <c r="AP83" s="49"/>
      <c r="AQ83" s="49"/>
      <c r="AR83" s="49"/>
      <c r="AS83" s="197">
        <v>2</v>
      </c>
      <c r="AT83" s="472">
        <f t="shared" ca="1" si="53"/>
        <v>9.5988376462696843E-9</v>
      </c>
      <c r="AU83" s="472">
        <f t="shared" ca="1" si="54"/>
        <v>9.7952217603380981E-9</v>
      </c>
      <c r="AV83" s="49"/>
      <c r="AX83" s="49"/>
      <c r="AY83" s="49"/>
      <c r="AZ83" s="497">
        <f>AZ82+1</f>
        <v>3</v>
      </c>
      <c r="BA83" s="481" t="s">
        <v>242</v>
      </c>
      <c r="BB83" s="487">
        <f>BB81</f>
        <v>0</v>
      </c>
      <c r="BC83" s="488">
        <f>BC81</f>
        <v>1000</v>
      </c>
      <c r="BD83" s="485">
        <v>-5</v>
      </c>
      <c r="BE83" s="486">
        <v>5</v>
      </c>
      <c r="BF83" s="456" t="str">
        <f>BF$81</f>
        <v>IC2(norm_Ecal)</v>
      </c>
      <c r="BG83" s="455"/>
      <c r="BH83" s="1"/>
      <c r="BI83" s="45"/>
      <c r="BJ83" s="179"/>
      <c r="BK83" s="45"/>
      <c r="BL83" s="188"/>
      <c r="BM83" s="45"/>
      <c r="BN83" s="179"/>
      <c r="BO83" s="45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</row>
    <row r="84" spans="2:83" s="10" customFormat="1">
      <c r="G84" s="111"/>
      <c r="H84" s="111"/>
      <c r="I84" s="111"/>
      <c r="J84" s="11"/>
      <c r="K84" s="11"/>
      <c r="L84" s="12"/>
      <c r="M84" s="12"/>
      <c r="N84" s="12"/>
      <c r="O84" s="12"/>
      <c r="P84" s="12"/>
      <c r="Q84" s="12"/>
      <c r="R84" s="12"/>
      <c r="S84" s="195"/>
      <c r="T84" s="195"/>
      <c r="U84" s="195"/>
      <c r="V84" s="9"/>
      <c r="W84" s="9"/>
      <c r="AP84" s="49"/>
      <c r="AQ84" s="49"/>
      <c r="AR84" s="49"/>
      <c r="AS84" s="197">
        <v>5</v>
      </c>
      <c r="AT84" s="472">
        <f t="shared" ca="1" si="53"/>
        <v>1.968000166776643E-8</v>
      </c>
      <c r="AU84" s="472">
        <f t="shared" ca="1" si="54"/>
        <v>1.9669460436923123E-8</v>
      </c>
      <c r="AV84" s="49"/>
      <c r="AX84" s="49"/>
      <c r="AY84" s="49"/>
      <c r="AZ84" s="497">
        <f t="shared" ref="AZ84:AZ93" si="55">AZ83+1</f>
        <v>4</v>
      </c>
      <c r="BA84" s="481" t="s">
        <v>243</v>
      </c>
      <c r="BB84" s="487">
        <f>BB82</f>
        <v>700</v>
      </c>
      <c r="BC84" s="488">
        <f>BC82</f>
        <v>950</v>
      </c>
      <c r="BD84" s="487">
        <f>BD83</f>
        <v>-5</v>
      </c>
      <c r="BE84" s="488">
        <f>BE83</f>
        <v>5</v>
      </c>
      <c r="BF84" s="456" t="str">
        <f>BF$81</f>
        <v>IC2(norm_Ecal)</v>
      </c>
      <c r="BG84" s="455"/>
      <c r="BH84" s="1"/>
      <c r="BI84" s="45"/>
      <c r="BJ84" s="179"/>
      <c r="BK84" s="45"/>
      <c r="BL84" s="188"/>
      <c r="BM84" s="45"/>
      <c r="BN84" s="179"/>
      <c r="BO84" s="45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</row>
    <row r="85" spans="2:83" s="10" customFormat="1">
      <c r="J85" s="11"/>
      <c r="K85" s="11"/>
      <c r="L85" s="12"/>
      <c r="M85" s="12"/>
      <c r="N85" s="12"/>
      <c r="O85" s="12"/>
      <c r="P85" s="12"/>
      <c r="Q85" s="12"/>
      <c r="R85" s="12"/>
      <c r="S85" s="195"/>
      <c r="T85" s="195"/>
      <c r="U85" s="195"/>
      <c r="V85" s="9"/>
      <c r="W85" s="9"/>
      <c r="AP85" s="49"/>
      <c r="AQ85" s="49"/>
      <c r="AR85" s="49"/>
      <c r="AS85" s="197">
        <v>10</v>
      </c>
      <c r="AT85" s="472">
        <f t="shared" ca="1" si="53"/>
        <v>3.6481941703594336E-8</v>
      </c>
      <c r="AU85" s="472">
        <f t="shared" ca="1" si="54"/>
        <v>3.6126524897898159E-8</v>
      </c>
      <c r="AV85" s="49"/>
      <c r="AX85" s="49"/>
      <c r="AY85" s="49"/>
      <c r="AZ85" s="497">
        <f t="shared" si="55"/>
        <v>5</v>
      </c>
      <c r="BA85" s="481" t="s">
        <v>244</v>
      </c>
      <c r="BB85" s="487">
        <f>BB81</f>
        <v>0</v>
      </c>
      <c r="BC85" s="488">
        <f>BC81</f>
        <v>1000</v>
      </c>
      <c r="BD85" s="491">
        <v>0</v>
      </c>
      <c r="BE85" s="492">
        <v>4.9999999999999998E-8</v>
      </c>
      <c r="BF85" s="476" t="s">
        <v>232</v>
      </c>
      <c r="BG85" s="455"/>
      <c r="BH85" s="1"/>
      <c r="BI85" s="45"/>
      <c r="BJ85" s="179"/>
      <c r="BK85" s="45"/>
      <c r="BL85" s="188"/>
      <c r="BM85" s="45"/>
      <c r="BN85" s="179"/>
      <c r="BO85" s="45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</row>
    <row r="86" spans="2:83" s="10" customFormat="1">
      <c r="J86" s="11"/>
      <c r="K86" s="11"/>
      <c r="L86" s="12"/>
      <c r="M86" s="12"/>
      <c r="N86" s="12"/>
      <c r="O86" s="12"/>
      <c r="P86" s="12"/>
      <c r="Q86" s="12"/>
      <c r="R86" s="12"/>
      <c r="S86" s="195"/>
      <c r="T86" s="195"/>
      <c r="U86" s="195"/>
      <c r="V86" s="9"/>
      <c r="W86" s="9"/>
      <c r="AP86" s="49"/>
      <c r="AQ86" s="49"/>
      <c r="AR86" s="49"/>
      <c r="AS86" s="416">
        <v>12</v>
      </c>
      <c r="AT86" s="472">
        <f t="shared" ca="1" si="53"/>
        <v>4.3202717717925498E-8</v>
      </c>
      <c r="AU86" s="472">
        <f t="shared" ca="1" si="54"/>
        <v>4.2709350682288177E-8</v>
      </c>
      <c r="AV86" s="49"/>
      <c r="AX86" s="49"/>
      <c r="AY86" s="49"/>
      <c r="AZ86" s="497">
        <f t="shared" si="55"/>
        <v>6</v>
      </c>
      <c r="BA86" s="481" t="s">
        <v>245</v>
      </c>
      <c r="BB86" s="487">
        <f>BB82</f>
        <v>700</v>
      </c>
      <c r="BC86" s="488">
        <f>BC82</f>
        <v>950</v>
      </c>
      <c r="BD86" s="493">
        <f>BD85</f>
        <v>0</v>
      </c>
      <c r="BE86" s="494">
        <f>BE85</f>
        <v>4.9999999999999998E-8</v>
      </c>
      <c r="BF86" s="456" t="str">
        <f>BF$85</f>
        <v>IC2[A] raw</v>
      </c>
      <c r="BG86" s="455"/>
      <c r="BH86" s="1"/>
      <c r="BI86" s="45"/>
      <c r="BJ86" s="179"/>
      <c r="BK86" s="45"/>
      <c r="BL86" s="188"/>
      <c r="BM86" s="45"/>
      <c r="BN86" s="179"/>
      <c r="BO86" s="45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</row>
    <row r="87" spans="2:83" s="10" customFormat="1">
      <c r="J87" s="11"/>
      <c r="K87" s="11"/>
      <c r="L87" s="12"/>
      <c r="M87" s="12"/>
      <c r="N87" s="12"/>
      <c r="O87" s="12"/>
      <c r="P87" s="12"/>
      <c r="Q87" s="12"/>
      <c r="R87" s="12"/>
      <c r="S87" s="195"/>
      <c r="T87" s="195"/>
      <c r="U87" s="195"/>
      <c r="V87" s="9"/>
      <c r="W87" s="9"/>
      <c r="AP87" s="49"/>
      <c r="AQ87" s="49"/>
      <c r="AR87" s="49"/>
      <c r="AS87" s="417">
        <v>15</v>
      </c>
      <c r="AT87" s="473">
        <f t="shared" ca="1" si="53"/>
        <v>5.3283881739422236E-8</v>
      </c>
      <c r="AU87" s="473">
        <f t="shared" ca="1" si="54"/>
        <v>5.2583589358873203E-8</v>
      </c>
      <c r="AV87" s="49"/>
      <c r="AX87" s="49"/>
      <c r="AY87" s="49"/>
      <c r="AZ87" s="497">
        <f t="shared" si="55"/>
        <v>7</v>
      </c>
      <c r="BA87" s="481" t="s">
        <v>246</v>
      </c>
      <c r="BB87" s="487">
        <f>BB81</f>
        <v>0</v>
      </c>
      <c r="BC87" s="488">
        <f>BC81</f>
        <v>1000</v>
      </c>
      <c r="BD87" s="491">
        <v>1.7E-6</v>
      </c>
      <c r="BE87" s="492">
        <v>2.5000000000000002E-6</v>
      </c>
      <c r="BF87" s="420" t="s">
        <v>233</v>
      </c>
      <c r="BG87" s="455"/>
      <c r="BH87" s="1"/>
      <c r="BI87" s="45"/>
      <c r="BJ87" s="179"/>
      <c r="BK87" s="45"/>
      <c r="BL87" s="188"/>
      <c r="BM87" s="45"/>
      <c r="BN87" s="179"/>
      <c r="BO87" s="45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</row>
    <row r="88" spans="2:83" s="10" customFormat="1">
      <c r="J88" s="11"/>
      <c r="K88" s="11"/>
      <c r="L88" s="12"/>
      <c r="M88" s="12"/>
      <c r="N88" s="12"/>
      <c r="O88" s="12"/>
      <c r="P88" s="12"/>
      <c r="Q88" s="12"/>
      <c r="R88" s="12"/>
      <c r="S88" s="195"/>
      <c r="T88" s="195"/>
      <c r="U88" s="195"/>
      <c r="V88" s="9"/>
      <c r="W88" s="9"/>
      <c r="AP88" s="49"/>
      <c r="AQ88" s="49"/>
      <c r="AR88" s="49"/>
      <c r="AS88" s="49"/>
      <c r="AT88" s="49"/>
      <c r="AU88" s="49"/>
      <c r="AV88" s="49"/>
      <c r="AX88" s="49"/>
      <c r="AY88" s="49"/>
      <c r="AZ88" s="497">
        <f t="shared" si="55"/>
        <v>8</v>
      </c>
      <c r="BA88" s="481" t="s">
        <v>247</v>
      </c>
      <c r="BB88" s="487">
        <f>BB82</f>
        <v>700</v>
      </c>
      <c r="BC88" s="488">
        <f>BC82</f>
        <v>950</v>
      </c>
      <c r="BD88" s="493">
        <f>BD87</f>
        <v>1.7E-6</v>
      </c>
      <c r="BE88" s="494">
        <f>BE87</f>
        <v>2.5000000000000002E-6</v>
      </c>
      <c r="BF88" s="456" t="str">
        <f>BF$85</f>
        <v>IC2[A] raw</v>
      </c>
      <c r="BG88" s="455"/>
      <c r="BH88" s="1"/>
      <c r="BI88" s="45"/>
      <c r="BJ88" s="179"/>
      <c r="BK88" s="45"/>
      <c r="BL88" s="188"/>
      <c r="BM88" s="45"/>
      <c r="BN88" s="179"/>
      <c r="BO88" s="45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</row>
    <row r="89" spans="2:83" s="10" customFormat="1">
      <c r="J89" s="11"/>
      <c r="K89" s="11"/>
      <c r="L89" s="12"/>
      <c r="M89" s="12"/>
      <c r="N89" s="12"/>
      <c r="O89" s="12"/>
      <c r="P89" s="12"/>
      <c r="Q89" s="12"/>
      <c r="R89" s="12"/>
      <c r="S89" s="195"/>
      <c r="T89" s="195"/>
      <c r="U89" s="195"/>
      <c r="V89" s="9"/>
      <c r="W89" s="9"/>
      <c r="AP89" s="49"/>
      <c r="AQ89" s="49"/>
      <c r="AR89" s="49"/>
      <c r="AS89" s="49"/>
      <c r="AT89" s="49"/>
      <c r="AU89" s="49"/>
      <c r="AV89" s="49"/>
      <c r="AX89" s="49"/>
      <c r="AY89" s="49"/>
      <c r="AZ89" s="497">
        <f t="shared" si="55"/>
        <v>9</v>
      </c>
      <c r="BA89" s="481" t="s">
        <v>248</v>
      </c>
      <c r="BB89" s="487">
        <f>BD81</f>
        <v>0</v>
      </c>
      <c r="BC89" s="488">
        <f>BE81</f>
        <v>15</v>
      </c>
      <c r="BD89" s="493">
        <f>BD85</f>
        <v>0</v>
      </c>
      <c r="BE89" s="494">
        <f>BE85</f>
        <v>4.9999999999999998E-8</v>
      </c>
      <c r="BF89" s="420" t="s">
        <v>236</v>
      </c>
      <c r="BG89" s="45"/>
      <c r="BH89" s="1"/>
      <c r="BI89" s="45"/>
      <c r="BJ89" s="179"/>
      <c r="BK89" s="45"/>
      <c r="BL89" s="188"/>
      <c r="BM89" s="45"/>
      <c r="BN89" s="179"/>
      <c r="BO89" s="45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</row>
    <row r="90" spans="2:83" s="10" customFormat="1">
      <c r="J90" s="11"/>
      <c r="K90" s="11"/>
      <c r="L90" s="12"/>
      <c r="M90" s="12"/>
      <c r="N90" s="12"/>
      <c r="O90" s="12"/>
      <c r="P90" s="12"/>
      <c r="Q90" s="12"/>
      <c r="R90" s="12"/>
      <c r="S90" s="195"/>
      <c r="T90" s="195"/>
      <c r="U90" s="195"/>
      <c r="V90" s="9"/>
      <c r="W90" s="9"/>
      <c r="X90" s="45"/>
      <c r="Y90" s="45"/>
      <c r="Z90" s="45"/>
      <c r="AA90" s="257"/>
      <c r="AB90" s="257"/>
      <c r="AC90" s="45"/>
      <c r="AD90" s="45"/>
      <c r="AE90" s="9"/>
      <c r="AF90" s="9"/>
      <c r="AG90" s="9"/>
      <c r="AH90" s="188"/>
      <c r="AI90" s="188"/>
      <c r="AJ90" s="207"/>
      <c r="AK90" s="17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X90" s="49"/>
      <c r="AY90" s="49"/>
      <c r="AZ90" s="497">
        <f t="shared" si="55"/>
        <v>10</v>
      </c>
      <c r="BA90" s="481" t="s">
        <v>249</v>
      </c>
      <c r="BB90" s="487">
        <f>BD81</f>
        <v>0</v>
      </c>
      <c r="BC90" s="488">
        <f>BE81</f>
        <v>15</v>
      </c>
      <c r="BD90" s="493">
        <f>BD85</f>
        <v>0</v>
      </c>
      <c r="BE90" s="494">
        <f>BE85</f>
        <v>4.9999999999999998E-8</v>
      </c>
      <c r="BF90" s="420" t="s">
        <v>237</v>
      </c>
      <c r="BG90" s="455"/>
      <c r="BH90" s="1"/>
      <c r="BI90" s="45"/>
      <c r="BJ90" s="179"/>
      <c r="BK90" s="45"/>
      <c r="BL90" s="188"/>
      <c r="BM90" s="45"/>
      <c r="BN90" s="179"/>
      <c r="BO90" s="45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</row>
    <row r="91" spans="2:83" s="10" customFormat="1">
      <c r="J91" s="11"/>
      <c r="K91" s="11"/>
      <c r="L91" s="12"/>
      <c r="M91" s="12"/>
      <c r="N91" s="12"/>
      <c r="O91" s="12"/>
      <c r="P91" s="12"/>
      <c r="Q91" s="12"/>
      <c r="R91" s="12"/>
      <c r="S91" s="195"/>
      <c r="T91" s="195"/>
      <c r="U91" s="195"/>
      <c r="V91" s="9"/>
      <c r="W91" s="9"/>
      <c r="X91" s="45"/>
      <c r="Y91" s="45"/>
      <c r="Z91" s="45"/>
      <c r="AA91" s="257"/>
      <c r="AB91" s="257"/>
      <c r="AC91" s="45"/>
      <c r="AD91" s="45"/>
      <c r="AE91" s="9"/>
      <c r="AF91" s="9"/>
      <c r="AG91" s="9"/>
      <c r="AH91" s="188"/>
      <c r="AI91" s="188"/>
      <c r="AJ91" s="207"/>
      <c r="AK91" s="17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X91" s="49"/>
      <c r="AY91" s="49"/>
      <c r="AZ91" s="497">
        <f t="shared" si="55"/>
        <v>11</v>
      </c>
      <c r="BA91" s="481" t="s">
        <v>250</v>
      </c>
      <c r="BB91" s="487">
        <f>BB81</f>
        <v>0</v>
      </c>
      <c r="BC91" s="488">
        <f>BC81</f>
        <v>1000</v>
      </c>
      <c r="BD91" s="495">
        <v>0.9</v>
      </c>
      <c r="BE91" s="496">
        <v>1.1000000000000001</v>
      </c>
      <c r="BF91" s="456" t="str">
        <f>BF$85</f>
        <v>IC2[A] raw</v>
      </c>
      <c r="BG91" s="45"/>
      <c r="BH91" s="1"/>
      <c r="BI91" s="45"/>
      <c r="BJ91" s="179"/>
      <c r="BK91" s="45"/>
      <c r="BL91" s="188"/>
      <c r="BM91" s="45"/>
      <c r="BN91" s="179"/>
      <c r="BO91" s="45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</row>
    <row r="92" spans="2:83" s="10" customFormat="1">
      <c r="J92" s="11"/>
      <c r="K92" s="11"/>
      <c r="L92" s="12"/>
      <c r="M92" s="12"/>
      <c r="N92" s="12"/>
      <c r="O92" s="12"/>
      <c r="P92" s="12"/>
      <c r="Q92" s="12"/>
      <c r="R92" s="12"/>
      <c r="S92" s="195"/>
      <c r="T92" s="195"/>
      <c r="U92" s="195"/>
      <c r="V92" s="45"/>
      <c r="W92" s="45"/>
      <c r="X92" s="45"/>
      <c r="Y92" s="45"/>
      <c r="Z92" s="45"/>
      <c r="AA92" s="257"/>
      <c r="AB92" s="257"/>
      <c r="AC92" s="45"/>
      <c r="AD92" s="45"/>
      <c r="AE92" s="45"/>
      <c r="AF92" s="45"/>
      <c r="AG92" s="45"/>
      <c r="AH92" s="45"/>
      <c r="AI92" s="45"/>
      <c r="AJ92" s="207"/>
      <c r="AK92" s="17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X92" s="49"/>
      <c r="AY92" s="49"/>
      <c r="AZ92" s="497">
        <f t="shared" si="55"/>
        <v>12</v>
      </c>
      <c r="BA92" s="481" t="s">
        <v>251</v>
      </c>
      <c r="BB92" s="487">
        <f>BB81</f>
        <v>0</v>
      </c>
      <c r="BC92" s="488">
        <f>BC81</f>
        <v>1000</v>
      </c>
      <c r="BD92" s="487">
        <f>BD81</f>
        <v>0</v>
      </c>
      <c r="BE92" s="488">
        <f>BE81</f>
        <v>15</v>
      </c>
      <c r="BF92" s="475" t="s">
        <v>234</v>
      </c>
      <c r="BG92" s="45"/>
      <c r="BH92" s="1"/>
      <c r="BI92" s="45"/>
      <c r="BJ92" s="179"/>
      <c r="BK92" s="45"/>
      <c r="BL92" s="45"/>
      <c r="BM92" s="45"/>
      <c r="BN92" s="179"/>
      <c r="BO92" s="45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</row>
    <row r="93" spans="2:83"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179"/>
      <c r="AZ93" s="497">
        <f t="shared" si="55"/>
        <v>13</v>
      </c>
      <c r="BA93" s="482" t="s">
        <v>252</v>
      </c>
      <c r="BB93" s="489">
        <f>BB81</f>
        <v>0</v>
      </c>
      <c r="BC93" s="490">
        <f>BC81</f>
        <v>1000</v>
      </c>
      <c r="BD93" s="489">
        <f>BD83</f>
        <v>-5</v>
      </c>
      <c r="BE93" s="490">
        <f>BE83</f>
        <v>5</v>
      </c>
      <c r="BF93" s="477" t="str">
        <f>BF$92</f>
        <v>IC2(raw_Ecal)</v>
      </c>
      <c r="BG93" s="478"/>
      <c r="BH93" s="2"/>
      <c r="BI93" s="45"/>
      <c r="BJ93" s="179"/>
      <c r="BK93" s="45"/>
      <c r="BL93" s="45"/>
      <c r="BM93" s="45"/>
      <c r="BN93" s="179"/>
      <c r="BO93" s="45"/>
    </row>
    <row r="94" spans="2:83"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179"/>
      <c r="AZ94" s="45"/>
      <c r="BA94" s="45"/>
      <c r="BB94" s="179"/>
      <c r="BC94" s="45"/>
      <c r="BD94" s="45"/>
      <c r="BE94" s="45"/>
      <c r="BF94" s="179"/>
      <c r="BG94" s="45"/>
      <c r="BH94" s="45"/>
      <c r="BI94" s="45"/>
      <c r="BJ94" s="179"/>
      <c r="BK94" s="45"/>
      <c r="BL94" s="45"/>
      <c r="BM94" s="45"/>
      <c r="BN94" s="179"/>
      <c r="BO94" s="45"/>
    </row>
    <row r="95" spans="2:83" s="10" customFormat="1">
      <c r="B95" s="49"/>
      <c r="C95" s="49"/>
      <c r="D95" s="49"/>
      <c r="E95" s="49"/>
      <c r="F95" s="49"/>
      <c r="J95" s="49"/>
      <c r="K95" s="49"/>
      <c r="L95" s="49"/>
      <c r="M95" s="49"/>
      <c r="N95" s="49"/>
      <c r="O95" s="49"/>
      <c r="P95" s="49"/>
      <c r="Q95" s="49"/>
      <c r="R95" s="49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17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X95" s="49"/>
      <c r="AY95" s="49"/>
      <c r="AZ95" s="49"/>
      <c r="BA95" s="49"/>
      <c r="BC95" s="49"/>
      <c r="BD95" s="49"/>
      <c r="BE95" s="49"/>
      <c r="BG95" s="49"/>
      <c r="BH95" s="49"/>
      <c r="BI95" s="49"/>
      <c r="BK95" s="49"/>
      <c r="BL95" s="49"/>
      <c r="BM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</row>
    <row r="108" spans="41:41">
      <c r="AO108" s="454"/>
    </row>
    <row r="123" spans="33:41">
      <c r="AO123" s="45"/>
    </row>
    <row r="124" spans="33:41">
      <c r="AO124" s="45"/>
    </row>
    <row r="125" spans="33:41">
      <c r="AO125" s="45"/>
    </row>
    <row r="126" spans="33:41">
      <c r="AG126" s="474"/>
      <c r="AH126" s="45"/>
      <c r="AI126" s="45"/>
      <c r="AJ126" s="45"/>
      <c r="AK126" s="179"/>
      <c r="AL126" s="179"/>
      <c r="AM126" s="45"/>
      <c r="AO126" s="45"/>
    </row>
  </sheetData>
  <phoneticPr fontId="25"/>
  <pageMargins left="0.23622047244094491" right="0.23622047244094491" top="0.35433070866141736" bottom="0.35433070866141736" header="0.19685039370078741" footer="0.19685039370078741"/>
  <pageSetup paperSize="9" scale="60" fitToHeight="0" orientation="landscape" r:id="rId1"/>
  <headerFooter>
    <oddHeader>&amp;L&amp;F&amp;A</oddHeader>
  </headerFooter>
  <rowBreaks count="1" manualBreakCount="1">
    <brk id="73" max="16383" man="1"/>
  </rowBreaks>
  <colBreaks count="1" manualBreakCount="1">
    <brk id="50" max="1048575" man="1"/>
  </colBreaks>
  <drawing r:id="rId2"/>
  <legacyDrawing r:id="rId3"/>
  <controls>
    <mc:AlternateContent xmlns:mc="http://schemas.openxmlformats.org/markup-compatibility/2006">
      <mc:Choice Requires="x14">
        <control shapeId="14337" r:id="rId4" name="btn_AxSet">
          <controlPr defaultSize="0" autoLine="0" autoPict="0" r:id="rId5">
            <anchor moveWithCells="1">
              <from>
                <xdr:col>52</xdr:col>
                <xdr:colOff>50800</xdr:colOff>
                <xdr:row>76</xdr:row>
                <xdr:rowOff>69850</xdr:rowOff>
              </from>
              <to>
                <xdr:col>54</xdr:col>
                <xdr:colOff>69850</xdr:colOff>
                <xdr:row>77</xdr:row>
                <xdr:rowOff>146050</xdr:rowOff>
              </to>
            </anchor>
          </controlPr>
        </control>
      </mc:Choice>
      <mc:Fallback>
        <control shapeId="14337" r:id="rId4" name="btn_AxSet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38</vt:i4>
      </vt:variant>
    </vt:vector>
  </HeadingPairs>
  <TitlesOfParts>
    <vt:vector size="41" baseType="lpstr">
      <vt:lpstr>params</vt:lpstr>
      <vt:lpstr>IC計算</vt:lpstr>
      <vt:lpstr>IC解析</vt:lpstr>
      <vt:lpstr>AirP</vt:lpstr>
      <vt:lpstr>AirT</vt:lpstr>
      <vt:lpstr>BeamE</vt:lpstr>
      <vt:lpstr>BeamWS</vt:lpstr>
      <vt:lpstr>ExpR</vt:lpstr>
      <vt:lpstr>ICs_Mylar</vt:lpstr>
      <vt:lpstr>ICs_Th</vt:lpstr>
      <vt:lpstr>ssdA_Al</vt:lpstr>
      <vt:lpstr>ssdA1_d1</vt:lpstr>
      <vt:lpstr>ssdA1_d2</vt:lpstr>
      <vt:lpstr>ssdA1_Ea</vt:lpstr>
      <vt:lpstr>ssdA1_Eb</vt:lpstr>
      <vt:lpstr>ssdA1_Th</vt:lpstr>
      <vt:lpstr>ssdA2_d1</vt:lpstr>
      <vt:lpstr>ssdA2_d2</vt:lpstr>
      <vt:lpstr>ssdA2_Ea</vt:lpstr>
      <vt:lpstr>ssdA2_Eb</vt:lpstr>
      <vt:lpstr>ssdA2_Th</vt:lpstr>
      <vt:lpstr>ssdB_Al</vt:lpstr>
      <vt:lpstr>ssdB1_d1</vt:lpstr>
      <vt:lpstr>ssdB1_d2</vt:lpstr>
      <vt:lpstr>ssdB1_Ea</vt:lpstr>
      <vt:lpstr>ssdB1_Eb</vt:lpstr>
      <vt:lpstr>ssdB1_Th</vt:lpstr>
      <vt:lpstr>ssdB2_d1</vt:lpstr>
      <vt:lpstr>ssdB2_d2</vt:lpstr>
      <vt:lpstr>ssdB2_Ea</vt:lpstr>
      <vt:lpstr>ssdB2_Eb</vt:lpstr>
      <vt:lpstr>ssdB2_Th</vt:lpstr>
      <vt:lpstr>ThAir1</vt:lpstr>
      <vt:lpstr>ThAir2</vt:lpstr>
      <vt:lpstr>ThAu</vt:lpstr>
      <vt:lpstr>ThEDtbl</vt:lpstr>
      <vt:lpstr>ThICmylar</vt:lpstr>
      <vt:lpstr>ThKapton</vt:lpstr>
      <vt:lpstr>ThPL</vt:lpstr>
      <vt:lpstr>ThPLmylar</vt:lpstr>
      <vt:lpstr>WBtitle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ayoshida</dc:creator>
  <cp:lastModifiedBy>ayoshida</cp:lastModifiedBy>
  <cp:lastPrinted>2018-07-27T06:12:34Z</cp:lastPrinted>
  <dcterms:created xsi:type="dcterms:W3CDTF">2008-11-07T05:47:18Z</dcterms:created>
  <dcterms:modified xsi:type="dcterms:W3CDTF">2018-10-26T00:39:21Z</dcterms:modified>
</cp:coreProperties>
</file>