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2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3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yoshida\Documents\_Today__\_AyLIB\_SRIMfit-AyLIB\170405-SRIMfit_v3.00\example\E5A用\"/>
    </mc:Choice>
  </mc:AlternateContent>
  <bookViews>
    <workbookView xWindow="645" yWindow="-15" windowWidth="26295" windowHeight="10485" tabRatio="659"/>
  </bookViews>
  <sheets>
    <sheet name="BPkW_Si" sheetId="193" r:id="rId1"/>
    <sheet name="BPkW_Air" sheetId="192" r:id="rId2"/>
    <sheet name="LETcoef" sheetId="200" r:id="rId3"/>
  </sheets>
  <externalReferences>
    <externalReference r:id="rId4"/>
  </externalReferences>
  <calcPr calcId="152511" iterate="1" iterateCount="1000"/>
  <customWorkbookViews>
    <customWorkbookView name="view2" guid="{3AC4C5A4-CC01-4AA2-8975-95BDDCF33CBA}" xWindow="9" yWindow="76" windowWidth="1821" windowHeight="634" activeSheetId="80"/>
    <customWorkbookView name="view1" guid="{8A5D6D5C-C043-4E6B-AB9F-8AB531120421}" xWindow="9" yWindow="76" windowWidth="1821" windowHeight="634" activeSheetId="80"/>
  </customWorkbookViews>
</workbook>
</file>

<file path=xl/calcChain.xml><?xml version="1.0" encoding="utf-8"?>
<calcChain xmlns="http://schemas.openxmlformats.org/spreadsheetml/2006/main">
  <c r="G41" i="200" l="1"/>
  <c r="G42" i="200" s="1"/>
  <c r="G43" i="200" s="1"/>
  <c r="G29" i="200"/>
  <c r="G30" i="200" s="1"/>
  <c r="G31" i="200" s="1"/>
  <c r="C25" i="200"/>
  <c r="H9" i="200" s="1"/>
  <c r="AA18" i="200"/>
  <c r="AA15" i="200"/>
  <c r="AA14" i="200"/>
  <c r="AA10" i="200"/>
  <c r="H10" i="200"/>
  <c r="AF24" i="200" s="1"/>
  <c r="AA9" i="200"/>
  <c r="AA8" i="200"/>
  <c r="AA7" i="200"/>
  <c r="H6" i="200"/>
  <c r="G53" i="200" s="1"/>
  <c r="C10" i="200"/>
  <c r="Z2" i="200"/>
  <c r="D6" i="200"/>
  <c r="G38" i="193"/>
  <c r="Y11" i="193"/>
  <c r="P38" i="193"/>
  <c r="C6" i="200"/>
  <c r="P11" i="193"/>
  <c r="G11" i="193"/>
  <c r="AA38" i="192"/>
  <c r="H5" i="200"/>
  <c r="Q38" i="192"/>
  <c r="R38" i="192" s="1"/>
  <c r="Q11" i="192"/>
  <c r="G11" i="192"/>
  <c r="I11" i="193"/>
  <c r="AK38" i="192"/>
  <c r="H11" i="200"/>
  <c r="Y38" i="193"/>
  <c r="AA11" i="192"/>
  <c r="AK11" i="192"/>
  <c r="V38" i="192"/>
  <c r="AH11" i="193"/>
  <c r="C9" i="192"/>
  <c r="S38" i="192"/>
  <c r="H7" i="200"/>
  <c r="G38" i="192"/>
  <c r="L13" i="200"/>
  <c r="AH38" i="193"/>
  <c r="X38" i="192"/>
  <c r="Y38" i="192"/>
  <c r="G28" i="200" l="1"/>
  <c r="AA16" i="200"/>
  <c r="AE21" i="200" s="1"/>
  <c r="AB24" i="200"/>
  <c r="C11" i="200"/>
  <c r="H12" i="200"/>
  <c r="AE24" i="200"/>
  <c r="AE25" i="200" s="1"/>
  <c r="AD6" i="200"/>
  <c r="AE6" i="200"/>
  <c r="G54" i="200"/>
  <c r="G52" i="200"/>
  <c r="AA11" i="200"/>
  <c r="C12" i="200"/>
  <c r="G40" i="200"/>
  <c r="AI38" i="193"/>
  <c r="AC11" i="192"/>
  <c r="I11" i="192"/>
  <c r="H38" i="193"/>
  <c r="H38" i="192"/>
  <c r="Z38" i="193"/>
  <c r="H13" i="200"/>
  <c r="S11" i="192"/>
  <c r="AL38" i="192"/>
  <c r="AB38" i="192"/>
  <c r="Q38" i="193"/>
  <c r="AM11" i="192"/>
  <c r="AN38" i="193"/>
  <c r="AO38" i="193"/>
  <c r="AL38" i="193"/>
  <c r="AJ38" i="193"/>
  <c r="M38" i="193"/>
  <c r="I38" i="193"/>
  <c r="K38" i="193"/>
  <c r="I38" i="192"/>
  <c r="O38" i="192"/>
  <c r="L38" i="192"/>
  <c r="N38" i="192"/>
  <c r="AE38" i="193"/>
  <c r="AA38" i="193"/>
  <c r="AF38" i="193"/>
  <c r="AC38" i="193"/>
  <c r="AM38" i="192"/>
  <c r="AS38" i="192"/>
  <c r="AR38" i="192"/>
  <c r="AC38" i="192"/>
  <c r="AH38" i="192"/>
  <c r="AF38" i="192"/>
  <c r="AI38" i="192"/>
  <c r="V38" i="193"/>
  <c r="R38" i="193"/>
  <c r="T38" i="193"/>
  <c r="W38" i="193"/>
  <c r="AC24" i="200" l="1"/>
  <c r="H15" i="200"/>
  <c r="G27" i="200"/>
  <c r="AE20" i="200"/>
  <c r="AD24" i="200"/>
  <c r="G39" i="200"/>
  <c r="G51" i="200"/>
  <c r="G55" i="200"/>
  <c r="AP38" i="192"/>
  <c r="H16" i="200"/>
  <c r="N38" i="193"/>
  <c r="H20" i="200"/>
  <c r="H17" i="200" l="1"/>
  <c r="G65" i="200" s="1"/>
  <c r="AA24" i="200"/>
  <c r="AA25" i="200" s="1"/>
  <c r="H21" i="200"/>
  <c r="G64" i="200"/>
  <c r="G66" i="200"/>
  <c r="H65" i="200"/>
  <c r="H18" i="200"/>
  <c r="M65" i="200"/>
  <c r="J65" i="200"/>
  <c r="L65" i="200"/>
  <c r="K65" i="200"/>
  <c r="H22" i="200"/>
  <c r="H39" i="200"/>
  <c r="H53" i="200"/>
  <c r="H55" i="200"/>
  <c r="H30" i="200"/>
  <c r="H43" i="200"/>
  <c r="H51" i="200"/>
  <c r="H28" i="200"/>
  <c r="H42" i="200"/>
  <c r="H29" i="200"/>
  <c r="H41" i="200"/>
  <c r="H31" i="200"/>
  <c r="H27" i="200"/>
  <c r="H52" i="200"/>
  <c r="H40" i="200"/>
  <c r="H54" i="200"/>
  <c r="K39" i="200"/>
  <c r="L39" i="200"/>
  <c r="J39" i="200"/>
  <c r="L53" i="200"/>
  <c r="K53" i="200"/>
  <c r="M53" i="200"/>
  <c r="J53" i="200"/>
  <c r="M55" i="200"/>
  <c r="J55" i="200"/>
  <c r="L55" i="200"/>
  <c r="K30" i="200"/>
  <c r="L30" i="200"/>
  <c r="M30" i="200"/>
  <c r="J30" i="200"/>
  <c r="M43" i="200"/>
  <c r="L43" i="200"/>
  <c r="K43" i="200"/>
  <c r="J43" i="200"/>
  <c r="J51" i="200"/>
  <c r="M51" i="200"/>
  <c r="L51" i="200"/>
  <c r="K51" i="200"/>
  <c r="M28" i="200"/>
  <c r="J28" i="200"/>
  <c r="L28" i="200"/>
  <c r="K28" i="200"/>
  <c r="J42" i="200"/>
  <c r="K42" i="200"/>
  <c r="M42" i="200"/>
  <c r="J29" i="200"/>
  <c r="K29" i="200"/>
  <c r="L29" i="200"/>
  <c r="M29" i="200"/>
  <c r="M41" i="200"/>
  <c r="L41" i="200"/>
  <c r="K41" i="200"/>
  <c r="J41" i="200"/>
  <c r="J31" i="200"/>
  <c r="M31" i="200"/>
  <c r="K31" i="200"/>
  <c r="L31" i="200"/>
  <c r="M27" i="200"/>
  <c r="K27" i="200"/>
  <c r="J27" i="200"/>
  <c r="M52" i="200"/>
  <c r="J52" i="200"/>
  <c r="K52" i="200"/>
  <c r="L52" i="200"/>
  <c r="M40" i="200"/>
  <c r="J40" i="200"/>
  <c r="L40" i="200"/>
  <c r="K40" i="200"/>
  <c r="J54" i="200"/>
  <c r="K54" i="200"/>
  <c r="L54" i="200"/>
  <c r="M54" i="200"/>
  <c r="N53" i="200" l="1"/>
  <c r="N42" i="200"/>
  <c r="N27" i="200"/>
  <c r="K33" i="200"/>
  <c r="AC27" i="200" s="1"/>
  <c r="K34" i="200"/>
  <c r="J33" i="200"/>
  <c r="AB27" i="200" s="1"/>
  <c r="J34" i="200"/>
  <c r="N43" i="200"/>
  <c r="N41" i="200"/>
  <c r="N28" i="200"/>
  <c r="N29" i="200"/>
  <c r="N30" i="200"/>
  <c r="N31" i="200"/>
  <c r="N54" i="200"/>
  <c r="N52" i="200"/>
  <c r="K45" i="200"/>
  <c r="AC29" i="200" s="1"/>
  <c r="K46" i="200"/>
  <c r="N51" i="200"/>
  <c r="L57" i="200"/>
  <c r="AD31" i="200" s="1"/>
  <c r="L58" i="200"/>
  <c r="J58" i="200"/>
  <c r="J57" i="200"/>
  <c r="AB31" i="200" s="1"/>
  <c r="N55" i="200"/>
  <c r="I53" i="200"/>
  <c r="I42" i="200"/>
  <c r="I27" i="200"/>
  <c r="I43" i="200"/>
  <c r="I41" i="200"/>
  <c r="I28" i="200"/>
  <c r="I29" i="200"/>
  <c r="I30" i="200"/>
  <c r="I31" i="200"/>
  <c r="I54" i="200"/>
  <c r="I52" i="200"/>
  <c r="I40" i="200"/>
  <c r="I39" i="200"/>
  <c r="I51" i="200"/>
  <c r="I55" i="200"/>
  <c r="N65" i="200"/>
  <c r="G67" i="200"/>
  <c r="H67" i="200" s="1"/>
  <c r="H66" i="200"/>
  <c r="H64" i="200"/>
  <c r="G63" i="200"/>
  <c r="L27" i="200"/>
  <c r="O40" i="200"/>
  <c r="O65" i="200"/>
  <c r="O27" i="200"/>
  <c r="M67" i="200"/>
  <c r="K66" i="200"/>
  <c r="L42" i="200"/>
  <c r="K55" i="200"/>
  <c r="J66" i="200"/>
  <c r="K67" i="200"/>
  <c r="M66" i="200"/>
  <c r="M39" i="200"/>
  <c r="O31" i="200"/>
  <c r="O29" i="200"/>
  <c r="L67" i="200"/>
  <c r="O52" i="200"/>
  <c r="O51" i="200"/>
  <c r="O28" i="200"/>
  <c r="O39" i="200"/>
  <c r="O42" i="200"/>
  <c r="L66" i="200"/>
  <c r="J64" i="200"/>
  <c r="O41" i="200"/>
  <c r="O54" i="200"/>
  <c r="O53" i="200"/>
  <c r="L64" i="200"/>
  <c r="O55" i="200"/>
  <c r="M64" i="200"/>
  <c r="J67" i="200"/>
  <c r="K64" i="200"/>
  <c r="O43" i="200"/>
  <c r="O30" i="200"/>
  <c r="N39" i="200" l="1"/>
  <c r="K58" i="200"/>
  <c r="K57" i="200"/>
  <c r="AC31" i="200" s="1"/>
  <c r="L46" i="200"/>
  <c r="L45" i="200"/>
  <c r="AD29" i="200" s="1"/>
  <c r="L34" i="200"/>
  <c r="L33" i="200"/>
  <c r="AD27" i="200" s="1"/>
  <c r="N40" i="200"/>
  <c r="N45" i="200" s="1"/>
  <c r="AE29" i="200" s="1"/>
  <c r="O58" i="200"/>
  <c r="O57" i="200"/>
  <c r="AF31" i="200" s="1"/>
  <c r="J46" i="200"/>
  <c r="J45" i="200"/>
  <c r="AB29" i="200" s="1"/>
  <c r="O33" i="200"/>
  <c r="AF27" i="200" s="1"/>
  <c r="O34" i="200"/>
  <c r="S31" i="200"/>
  <c r="T39" i="200"/>
  <c r="S27" i="200"/>
  <c r="S42" i="200"/>
  <c r="R31" i="200"/>
  <c r="R30" i="200"/>
  <c r="S51" i="200"/>
  <c r="R54" i="200"/>
  <c r="S43" i="200"/>
  <c r="S30" i="200"/>
  <c r="R27" i="200"/>
  <c r="T40" i="200"/>
  <c r="N66" i="200"/>
  <c r="N67" i="200"/>
  <c r="N64" i="200"/>
  <c r="I57" i="200"/>
  <c r="AA31" i="200" s="1"/>
  <c r="I58" i="200"/>
  <c r="I45" i="200"/>
  <c r="AA29" i="200" s="1"/>
  <c r="I46" i="200"/>
  <c r="N58" i="200"/>
  <c r="N57" i="200"/>
  <c r="AE31" i="200" s="1"/>
  <c r="S54" i="200"/>
  <c r="R28" i="200"/>
  <c r="S28" i="200"/>
  <c r="S39" i="200"/>
  <c r="T55" i="200"/>
  <c r="I34" i="200"/>
  <c r="I33" i="200"/>
  <c r="AA27" i="200" s="1"/>
  <c r="T28" i="200"/>
  <c r="S40" i="200"/>
  <c r="T52" i="200"/>
  <c r="R52" i="200"/>
  <c r="T54" i="200"/>
  <c r="T51" i="200"/>
  <c r="R51" i="200"/>
  <c r="T27" i="200"/>
  <c r="T31" i="200"/>
  <c r="H63" i="200"/>
  <c r="T30" i="200"/>
  <c r="T42" i="200"/>
  <c r="S55" i="200"/>
  <c r="R55" i="200"/>
  <c r="N46" i="200"/>
  <c r="N34" i="200"/>
  <c r="N33" i="200"/>
  <c r="AE27" i="200" s="1"/>
  <c r="S52" i="200"/>
  <c r="J63" i="200"/>
  <c r="L63" i="200"/>
  <c r="M63" i="200"/>
  <c r="O67" i="200"/>
  <c r="O66" i="200"/>
  <c r="K63" i="200"/>
  <c r="O64" i="200"/>
  <c r="T43" i="200" l="1"/>
  <c r="R43" i="200"/>
  <c r="V54" i="200"/>
  <c r="V52" i="200"/>
  <c r="V28" i="200"/>
  <c r="R42" i="200"/>
  <c r="R40" i="200"/>
  <c r="V30" i="200"/>
  <c r="R39" i="200"/>
  <c r="V31" i="200"/>
  <c r="V51" i="200"/>
  <c r="V27" i="200"/>
  <c r="O46" i="200"/>
  <c r="O45" i="200"/>
  <c r="V55" i="200"/>
  <c r="Q39" i="200"/>
  <c r="Q51" i="200"/>
  <c r="Q55" i="200"/>
  <c r="Q52" i="200"/>
  <c r="U52" i="200"/>
  <c r="U54" i="200"/>
  <c r="U51" i="200"/>
  <c r="Q43" i="200"/>
  <c r="Q42" i="200"/>
  <c r="N63" i="200"/>
  <c r="L69" i="200"/>
  <c r="L70" i="200"/>
  <c r="K70" i="200"/>
  <c r="K69" i="200"/>
  <c r="J70" i="200"/>
  <c r="J69" i="200"/>
  <c r="U43" i="200"/>
  <c r="U31" i="200"/>
  <c r="U40" i="200"/>
  <c r="U30" i="200"/>
  <c r="U42" i="200"/>
  <c r="Q28" i="200"/>
  <c r="U39" i="200"/>
  <c r="U55" i="200"/>
  <c r="U28" i="200"/>
  <c r="Q31" i="200"/>
  <c r="U27" i="200"/>
  <c r="Q54" i="200"/>
  <c r="Q30" i="200"/>
  <c r="Q40" i="200"/>
  <c r="Q27" i="200"/>
  <c r="O63" i="200"/>
  <c r="O70" i="200" l="1"/>
  <c r="O69" i="200"/>
  <c r="V63" i="200" s="1"/>
  <c r="AF29" i="200"/>
  <c r="V43" i="200"/>
  <c r="V40" i="200"/>
  <c r="V42" i="200"/>
  <c r="V39" i="200"/>
  <c r="AB33" i="200"/>
  <c r="R66" i="200"/>
  <c r="R67" i="200"/>
  <c r="R63" i="200"/>
  <c r="R64" i="200"/>
  <c r="AC33" i="200"/>
  <c r="S63" i="200"/>
  <c r="S64" i="200"/>
  <c r="S66" i="200"/>
  <c r="S67" i="200"/>
  <c r="AD33" i="200"/>
  <c r="T67" i="200"/>
  <c r="T64" i="200"/>
  <c r="T66" i="200"/>
  <c r="T63" i="200"/>
  <c r="AF33" i="200" l="1"/>
  <c r="V66" i="200"/>
  <c r="V64" i="200"/>
  <c r="V67" i="200"/>
  <c r="C85" i="193"/>
  <c r="AK18" i="193"/>
  <c r="AB18" i="193"/>
  <c r="S18" i="193"/>
  <c r="J18" i="193"/>
  <c r="AN18" i="193"/>
  <c r="AM18" i="193"/>
  <c r="AH18" i="193"/>
  <c r="AE18" i="193"/>
  <c r="AD18" i="193"/>
  <c r="Y18" i="193"/>
  <c r="V18" i="193"/>
  <c r="U18" i="193"/>
  <c r="P18" i="193"/>
  <c r="AN8" i="193"/>
  <c r="AK8" i="193"/>
  <c r="AH8" i="193"/>
  <c r="AE8" i="193"/>
  <c r="AB8" i="193"/>
  <c r="Y8" i="193"/>
  <c r="V8" i="193"/>
  <c r="S8" i="193"/>
  <c r="P8" i="193"/>
  <c r="C86" i="193"/>
  <c r="C81" i="193"/>
  <c r="C79" i="193"/>
  <c r="F77" i="193"/>
  <c r="F39" i="193"/>
  <c r="F40" i="193" s="1"/>
  <c r="F41" i="193" s="1"/>
  <c r="F42" i="193" s="1"/>
  <c r="F43" i="193" s="1"/>
  <c r="F44" i="193" s="1"/>
  <c r="F45" i="193" s="1"/>
  <c r="F46" i="193" s="1"/>
  <c r="F47" i="193" s="1"/>
  <c r="F48" i="193" s="1"/>
  <c r="F49" i="193" s="1"/>
  <c r="F50" i="193" s="1"/>
  <c r="F51" i="193" s="1"/>
  <c r="F52" i="193" s="1"/>
  <c r="F53" i="193" s="1"/>
  <c r="F54" i="193" s="1"/>
  <c r="F55" i="193" s="1"/>
  <c r="F56" i="193" s="1"/>
  <c r="F57" i="193" s="1"/>
  <c r="F58" i="193" s="1"/>
  <c r="F59" i="193" s="1"/>
  <c r="F60" i="193" s="1"/>
  <c r="F61" i="193" s="1"/>
  <c r="F62" i="193" s="1"/>
  <c r="F63" i="193" s="1"/>
  <c r="F64" i="193" s="1"/>
  <c r="F65" i="193" s="1"/>
  <c r="F66" i="193" s="1"/>
  <c r="F67" i="193" s="1"/>
  <c r="F68" i="193" s="1"/>
  <c r="F69" i="193" s="1"/>
  <c r="F70" i="193" s="1"/>
  <c r="F71" i="193" s="1"/>
  <c r="F72" i="193" s="1"/>
  <c r="F73" i="193" s="1"/>
  <c r="M18" i="193"/>
  <c r="L18" i="193"/>
  <c r="G18" i="193"/>
  <c r="M8" i="193"/>
  <c r="J8" i="193"/>
  <c r="G8" i="193"/>
  <c r="AH6" i="193"/>
  <c r="Y6" i="193"/>
  <c r="P6" i="193"/>
  <c r="G6" i="193"/>
  <c r="AH5" i="193"/>
  <c r="Y5" i="193"/>
  <c r="P5" i="193"/>
  <c r="G5" i="193"/>
  <c r="C81" i="192"/>
  <c r="C79" i="192"/>
  <c r="AR18" i="192"/>
  <c r="AQ18" i="192"/>
  <c r="AN18" i="192"/>
  <c r="AK18" i="192"/>
  <c r="AH18" i="192"/>
  <c r="AG18" i="192"/>
  <c r="AD18" i="192"/>
  <c r="AA18" i="192"/>
  <c r="X18" i="192"/>
  <c r="W18" i="192"/>
  <c r="T18" i="192"/>
  <c r="Q18" i="192"/>
  <c r="C86" i="192"/>
  <c r="AK8" i="192"/>
  <c r="AA8" i="192"/>
  <c r="Q8" i="192"/>
  <c r="G8" i="192"/>
  <c r="C85" i="192"/>
  <c r="AR8" i="192"/>
  <c r="AN8" i="192"/>
  <c r="AH8" i="192"/>
  <c r="AD8" i="192"/>
  <c r="X8" i="192"/>
  <c r="T8" i="192"/>
  <c r="N8" i="192"/>
  <c r="J8" i="192"/>
  <c r="N18" i="192"/>
  <c r="G18" i="192"/>
  <c r="M18" i="192"/>
  <c r="J18" i="192"/>
  <c r="F77" i="192"/>
  <c r="AK5" i="192"/>
  <c r="AA5" i="192"/>
  <c r="Q5" i="192"/>
  <c r="G5" i="192"/>
  <c r="AK6" i="192"/>
  <c r="AA6" i="192"/>
  <c r="Q6" i="192"/>
  <c r="G6" i="192"/>
  <c r="F39" i="192"/>
  <c r="F40" i="192" s="1"/>
  <c r="F41" i="192" s="1"/>
  <c r="F42" i="192" s="1"/>
  <c r="F43" i="192" s="1"/>
  <c r="F44" i="192" s="1"/>
  <c r="F45" i="192" s="1"/>
  <c r="F46" i="192" s="1"/>
  <c r="F47" i="192" s="1"/>
  <c r="F48" i="192" s="1"/>
  <c r="F49" i="192" s="1"/>
  <c r="F50" i="192" s="1"/>
  <c r="F51" i="192" s="1"/>
  <c r="F52" i="192" s="1"/>
  <c r="F53" i="192" s="1"/>
  <c r="F54" i="192" s="1"/>
  <c r="F55" i="192" s="1"/>
  <c r="F56" i="192" s="1"/>
  <c r="F57" i="192" s="1"/>
  <c r="F58" i="192" s="1"/>
  <c r="F59" i="192" s="1"/>
  <c r="F60" i="192" s="1"/>
  <c r="F61" i="192" s="1"/>
  <c r="F62" i="192" s="1"/>
  <c r="F63" i="192" s="1"/>
  <c r="F64" i="192" s="1"/>
  <c r="F65" i="192" s="1"/>
  <c r="F66" i="192" s="1"/>
  <c r="F67" i="192" s="1"/>
  <c r="F68" i="192" s="1"/>
  <c r="F69" i="192" s="1"/>
  <c r="F70" i="192" s="1"/>
  <c r="F71" i="192" s="1"/>
  <c r="F72" i="192" s="1"/>
  <c r="F73" i="192" s="1"/>
  <c r="AG21" i="192" l="1"/>
  <c r="AG38" i="192"/>
  <c r="AQ38" i="192"/>
  <c r="AQ21" i="192"/>
  <c r="J21" i="193"/>
  <c r="L38" i="193"/>
  <c r="L21" i="193"/>
  <c r="AD38" i="192"/>
  <c r="AN38" i="192"/>
  <c r="AH49" i="193"/>
  <c r="AH63" i="193"/>
  <c r="AH30" i="193"/>
  <c r="AH36" i="193"/>
  <c r="AH48" i="193"/>
  <c r="AH69" i="193"/>
  <c r="AH22" i="193"/>
  <c r="AH62" i="193"/>
  <c r="AH56" i="193"/>
  <c r="AH24" i="193"/>
  <c r="AH26" i="193"/>
  <c r="AH25" i="193"/>
  <c r="AH31" i="193"/>
  <c r="AH57" i="193"/>
  <c r="AH58" i="193"/>
  <c r="AH71" i="193"/>
  <c r="AH33" i="193"/>
  <c r="AH55" i="193"/>
  <c r="AH27" i="193"/>
  <c r="AH47" i="193"/>
  <c r="AH28" i="193"/>
  <c r="AH43" i="193"/>
  <c r="AH39" i="193"/>
  <c r="AH68" i="193"/>
  <c r="AH66" i="193"/>
  <c r="AH32" i="193"/>
  <c r="AH37" i="193"/>
  <c r="AH44" i="193"/>
  <c r="AH41" i="193"/>
  <c r="AH40" i="193"/>
  <c r="AH35" i="193"/>
  <c r="AH65" i="193"/>
  <c r="AH34" i="193"/>
  <c r="AH52" i="193"/>
  <c r="AH67" i="193"/>
  <c r="AH42" i="193"/>
  <c r="AH64" i="193"/>
  <c r="AH29" i="193"/>
  <c r="AH60" i="193"/>
  <c r="AH59" i="193"/>
  <c r="AH54" i="193"/>
  <c r="AH70" i="193"/>
  <c r="AH50" i="193"/>
  <c r="AH45" i="193"/>
  <c r="AH72" i="193"/>
  <c r="AH46" i="193"/>
  <c r="AH53" i="193"/>
  <c r="AH61" i="193"/>
  <c r="AH51" i="193"/>
  <c r="AH23" i="193"/>
  <c r="M38" i="192"/>
  <c r="M21" i="192"/>
  <c r="J38" i="192"/>
  <c r="Q32" i="192"/>
  <c r="Q56" i="192"/>
  <c r="Q47" i="192"/>
  <c r="Q44" i="192"/>
  <c r="Q36" i="192"/>
  <c r="Q24" i="192"/>
  <c r="Q26" i="192"/>
  <c r="Q73" i="192"/>
  <c r="Q42" i="192"/>
  <c r="Q71" i="192"/>
  <c r="Q29" i="192"/>
  <c r="Q31" i="192"/>
  <c r="Q27" i="192"/>
  <c r="Q50" i="192"/>
  <c r="Q43" i="192"/>
  <c r="Q54" i="192"/>
  <c r="Q72" i="192"/>
  <c r="Q51" i="192"/>
  <c r="Q28" i="192"/>
  <c r="Q53" i="192"/>
  <c r="Q25" i="192"/>
  <c r="Q35" i="192"/>
  <c r="Q40" i="192"/>
  <c r="Q63" i="192"/>
  <c r="Q65" i="192"/>
  <c r="Q23" i="192"/>
  <c r="Q41" i="192"/>
  <c r="Q64" i="192"/>
  <c r="Q69" i="192"/>
  <c r="Q70" i="192"/>
  <c r="Q34" i="192"/>
  <c r="Q59" i="192"/>
  <c r="Q39" i="192"/>
  <c r="Q68" i="192"/>
  <c r="Q49" i="192"/>
  <c r="Q37" i="192"/>
  <c r="Q61" i="192"/>
  <c r="Q66" i="192"/>
  <c r="Q48" i="192"/>
  <c r="Q55" i="192"/>
  <c r="Q62" i="192"/>
  <c r="Q30" i="192"/>
  <c r="Q67" i="192"/>
  <c r="Q52" i="192"/>
  <c r="Q22" i="192"/>
  <c r="Q45" i="192"/>
  <c r="Q60" i="192"/>
  <c r="Q58" i="192"/>
  <c r="Q33" i="192"/>
  <c r="Q57" i="192"/>
  <c r="Q46" i="192"/>
  <c r="G64" i="192"/>
  <c r="G27" i="192"/>
  <c r="G39" i="192"/>
  <c r="G33" i="192"/>
  <c r="G40" i="192"/>
  <c r="G56" i="192"/>
  <c r="G66" i="192"/>
  <c r="G58" i="192"/>
  <c r="G47" i="192"/>
  <c r="G35" i="192"/>
  <c r="G72" i="192"/>
  <c r="G71" i="192"/>
  <c r="G42" i="192"/>
  <c r="G62" i="192"/>
  <c r="G59" i="192"/>
  <c r="G73" i="192"/>
  <c r="G60" i="192"/>
  <c r="G52" i="192"/>
  <c r="G22" i="192"/>
  <c r="G61" i="192"/>
  <c r="G45" i="192"/>
  <c r="G36" i="192"/>
  <c r="G37" i="192"/>
  <c r="G31" i="192"/>
  <c r="G29" i="192"/>
  <c r="G48" i="192"/>
  <c r="G24" i="192"/>
  <c r="G51" i="192"/>
  <c r="G28" i="192"/>
  <c r="G57" i="192"/>
  <c r="G32" i="192"/>
  <c r="G44" i="192"/>
  <c r="G43" i="192"/>
  <c r="G26" i="192"/>
  <c r="G70" i="192"/>
  <c r="G46" i="192"/>
  <c r="G34" i="192"/>
  <c r="G23" i="192"/>
  <c r="G30" i="192"/>
  <c r="G53" i="192"/>
  <c r="G25" i="192"/>
  <c r="G68" i="192"/>
  <c r="G54" i="192"/>
  <c r="G55" i="192"/>
  <c r="G65" i="192"/>
  <c r="G67" i="192"/>
  <c r="G41" i="192"/>
  <c r="G50" i="192"/>
  <c r="G49" i="192"/>
  <c r="G69" i="192"/>
  <c r="G63" i="192"/>
  <c r="AA55" i="192"/>
  <c r="AA42" i="192"/>
  <c r="AA37" i="192"/>
  <c r="AA66" i="192"/>
  <c r="AA30" i="192"/>
  <c r="AA45" i="192"/>
  <c r="AA24" i="192"/>
  <c r="AA59" i="192"/>
  <c r="AA49" i="192"/>
  <c r="AA50" i="192"/>
  <c r="AA23" i="192"/>
  <c r="AA62" i="192"/>
  <c r="AA31" i="192"/>
  <c r="AA71" i="192"/>
  <c r="AA69" i="192"/>
  <c r="AA73" i="192"/>
  <c r="AA43" i="192"/>
  <c r="AA34" i="192"/>
  <c r="AA44" i="192"/>
  <c r="AA72" i="192"/>
  <c r="AA60" i="192"/>
  <c r="AA56" i="192"/>
  <c r="AA58" i="192"/>
  <c r="AA46" i="192"/>
  <c r="AA51" i="192"/>
  <c r="AA41" i="192"/>
  <c r="AA61" i="192"/>
  <c r="AA47" i="192"/>
  <c r="AA52" i="192"/>
  <c r="AA25" i="192"/>
  <c r="AA63" i="192"/>
  <c r="AA64" i="192"/>
  <c r="AA36" i="192"/>
  <c r="AA29" i="192"/>
  <c r="AA48" i="192"/>
  <c r="AA65" i="192"/>
  <c r="AA57" i="192"/>
  <c r="AA67" i="192"/>
  <c r="AA70" i="192"/>
  <c r="AA54" i="192"/>
  <c r="AA26" i="192"/>
  <c r="AA28" i="192"/>
  <c r="AA32" i="192"/>
  <c r="AA27" i="192"/>
  <c r="AA68" i="192"/>
  <c r="AA33" i="192"/>
  <c r="AA40" i="192"/>
  <c r="AA35" i="192"/>
  <c r="AA39" i="192"/>
  <c r="AA22" i="192"/>
  <c r="AA53" i="192"/>
  <c r="Y67" i="193"/>
  <c r="Y53" i="193"/>
  <c r="Y46" i="193"/>
  <c r="Y26" i="193"/>
  <c r="Y30" i="193"/>
  <c r="Y59" i="193"/>
  <c r="Y71" i="193"/>
  <c r="Y58" i="193"/>
  <c r="Y51" i="193"/>
  <c r="Y34" i="193"/>
  <c r="Y29" i="193"/>
  <c r="Y60" i="193"/>
  <c r="Y40" i="193"/>
  <c r="Y31" i="193"/>
  <c r="Y57" i="193"/>
  <c r="Y52" i="193"/>
  <c r="Y41" i="193"/>
  <c r="Y66" i="193"/>
  <c r="Y64" i="193"/>
  <c r="Y45" i="193"/>
  <c r="Y22" i="193"/>
  <c r="Y48" i="193"/>
  <c r="Y44" i="193"/>
  <c r="Y50" i="193"/>
  <c r="Y49" i="193"/>
  <c r="Y35" i="193"/>
  <c r="Y27" i="193"/>
  <c r="Y69" i="193"/>
  <c r="Y42" i="193"/>
  <c r="Y70" i="193"/>
  <c r="Y28" i="193"/>
  <c r="Y39" i="193"/>
  <c r="Y47" i="193"/>
  <c r="Y43" i="193"/>
  <c r="Y63" i="193"/>
  <c r="Y55" i="193"/>
  <c r="Y24" i="193"/>
  <c r="Y54" i="193"/>
  <c r="Y56" i="193"/>
  <c r="Y65" i="193"/>
  <c r="Y32" i="193"/>
  <c r="Y36" i="193"/>
  <c r="Y33" i="193"/>
  <c r="Y61" i="193"/>
  <c r="Y62" i="193"/>
  <c r="Y73" i="193"/>
  <c r="Y25" i="193"/>
  <c r="Y72" i="193"/>
  <c r="Y37" i="193"/>
  <c r="Y23" i="193"/>
  <c r="Y68" i="193"/>
  <c r="G55" i="193"/>
  <c r="G47" i="193"/>
  <c r="G73" i="193"/>
  <c r="G52" i="193"/>
  <c r="G30" i="193"/>
  <c r="G36" i="193"/>
  <c r="G22" i="193"/>
  <c r="G35" i="193"/>
  <c r="G70" i="193"/>
  <c r="G42" i="193"/>
  <c r="G60" i="193"/>
  <c r="G61" i="193"/>
  <c r="G29" i="193"/>
  <c r="G43" i="193"/>
  <c r="G24" i="193"/>
  <c r="G31" i="193"/>
  <c r="G69" i="193"/>
  <c r="G63" i="193"/>
  <c r="G58" i="193"/>
  <c r="G32" i="193"/>
  <c r="G41" i="193"/>
  <c r="G68" i="193"/>
  <c r="G48" i="193"/>
  <c r="G64" i="193"/>
  <c r="G67" i="193"/>
  <c r="G49" i="193"/>
  <c r="G54" i="193"/>
  <c r="G59" i="193"/>
  <c r="G53" i="193"/>
  <c r="G45" i="193"/>
  <c r="G72" i="193"/>
  <c r="G25" i="193"/>
  <c r="G28" i="193"/>
  <c r="G57" i="193"/>
  <c r="G37" i="193"/>
  <c r="G46" i="193"/>
  <c r="G44" i="193"/>
  <c r="G56" i="193"/>
  <c r="G65" i="193"/>
  <c r="G51" i="193"/>
  <c r="G66" i="193"/>
  <c r="G23" i="193"/>
  <c r="G50" i="193"/>
  <c r="G62" i="193"/>
  <c r="G26" i="193"/>
  <c r="G34" i="193"/>
  <c r="G40" i="193"/>
  <c r="G27" i="193"/>
  <c r="G39" i="193"/>
  <c r="G33" i="193"/>
  <c r="G71" i="193"/>
  <c r="P53" i="193"/>
  <c r="P58" i="193"/>
  <c r="P49" i="193"/>
  <c r="P64" i="193"/>
  <c r="P56" i="193"/>
  <c r="P51" i="193"/>
  <c r="P66" i="193"/>
  <c r="P65" i="193"/>
  <c r="P50" i="193"/>
  <c r="P40" i="193"/>
  <c r="P69" i="193"/>
  <c r="P59" i="193"/>
  <c r="P22" i="193"/>
  <c r="P31" i="193"/>
  <c r="P46" i="193"/>
  <c r="P37" i="193"/>
  <c r="P52" i="193"/>
  <c r="P24" i="193"/>
  <c r="P70" i="193"/>
  <c r="P41" i="193"/>
  <c r="P55" i="193"/>
  <c r="P68" i="193"/>
  <c r="P34" i="193"/>
  <c r="P36" i="193"/>
  <c r="P39" i="193"/>
  <c r="P43" i="193"/>
  <c r="P54" i="193"/>
  <c r="P73" i="193"/>
  <c r="P29" i="193"/>
  <c r="P42" i="193"/>
  <c r="P71" i="193"/>
  <c r="P23" i="193"/>
  <c r="P60" i="193"/>
  <c r="P62" i="193"/>
  <c r="P33" i="193"/>
  <c r="P26" i="193"/>
  <c r="P47" i="193"/>
  <c r="P67" i="193"/>
  <c r="P28" i="193"/>
  <c r="P27" i="193"/>
  <c r="P45" i="193"/>
  <c r="P35" i="193"/>
  <c r="P61" i="193"/>
  <c r="P57" i="193"/>
  <c r="P48" i="193"/>
  <c r="P72" i="193"/>
  <c r="P63" i="193"/>
  <c r="P44" i="193"/>
  <c r="P30" i="193"/>
  <c r="P32" i="193"/>
  <c r="P25" i="193"/>
  <c r="AK68" i="192"/>
  <c r="AK70" i="192"/>
  <c r="AK40" i="192"/>
  <c r="AK31" i="192"/>
  <c r="AK69" i="192"/>
  <c r="AK63" i="192"/>
  <c r="AK43" i="192"/>
  <c r="AK67" i="192"/>
  <c r="AK25" i="192"/>
  <c r="AK41" i="192"/>
  <c r="AK60" i="192"/>
  <c r="AK44" i="192"/>
  <c r="AK33" i="192"/>
  <c r="AK55" i="192"/>
  <c r="AK30" i="192"/>
  <c r="AK61" i="192"/>
  <c r="AK32" i="192"/>
  <c r="AK36" i="192"/>
  <c r="AK27" i="192"/>
  <c r="AK57" i="192"/>
  <c r="AK66" i="192"/>
  <c r="AK42" i="192"/>
  <c r="AK26" i="192"/>
  <c r="AK29" i="192"/>
  <c r="AK49" i="192"/>
  <c r="AK53" i="192"/>
  <c r="AK54" i="192"/>
  <c r="AK28" i="192"/>
  <c r="AK45" i="192"/>
  <c r="AK23" i="192"/>
  <c r="AK51" i="192"/>
  <c r="AK52" i="192"/>
  <c r="AK50" i="192"/>
  <c r="AK58" i="192"/>
  <c r="AK34" i="192"/>
  <c r="AK65" i="192"/>
  <c r="AK56" i="192"/>
  <c r="AK48" i="192"/>
  <c r="AK35" i="192"/>
  <c r="AK71" i="192"/>
  <c r="AK72" i="192"/>
  <c r="AK59" i="192"/>
  <c r="AK62" i="192"/>
  <c r="AK47" i="192"/>
  <c r="AK46" i="192"/>
  <c r="AK24" i="192"/>
  <c r="AK64" i="192"/>
  <c r="AK39" i="192"/>
  <c r="AK37" i="192"/>
  <c r="AK22" i="192"/>
  <c r="R47" i="192"/>
  <c r="H73" i="192"/>
  <c r="AB52" i="192"/>
  <c r="AI56" i="193"/>
  <c r="R53" i="192"/>
  <c r="H43" i="192"/>
  <c r="AB33" i="192"/>
  <c r="H35" i="193"/>
  <c r="Q55" i="193"/>
  <c r="AL58" i="192"/>
  <c r="Q30" i="193"/>
  <c r="AI23" i="193"/>
  <c r="H35" i="192"/>
  <c r="AB58" i="192"/>
  <c r="Z55" i="193"/>
  <c r="H39" i="193"/>
  <c r="AL60" i="192"/>
  <c r="AI26" i="193"/>
  <c r="R70" i="192"/>
  <c r="H54" i="192"/>
  <c r="Z30" i="193"/>
  <c r="H63" i="193"/>
  <c r="Q71" i="193"/>
  <c r="AL47" i="192"/>
  <c r="Q60" i="193"/>
  <c r="R26" i="192"/>
  <c r="H61" i="192"/>
  <c r="AB36" i="192"/>
  <c r="Z73" i="193"/>
  <c r="Q65" i="193"/>
  <c r="AL66" i="192"/>
  <c r="Z28" i="193"/>
  <c r="AI41" i="193"/>
  <c r="H42" i="192"/>
  <c r="Q52" i="193"/>
  <c r="R32" i="192"/>
  <c r="H62" i="192"/>
  <c r="AB61" i="192"/>
  <c r="Z65" i="193"/>
  <c r="Q58" i="193"/>
  <c r="AL30" i="192"/>
  <c r="H65" i="193"/>
  <c r="AL48" i="192"/>
  <c r="R71" i="192"/>
  <c r="H37" i="192"/>
  <c r="AB65" i="192"/>
  <c r="Z37" i="193"/>
  <c r="Q69" i="193"/>
  <c r="AL29" i="192"/>
  <c r="H40" i="193"/>
  <c r="V47" i="192"/>
  <c r="O73" i="192"/>
  <c r="AC52" i="192"/>
  <c r="AO56" i="193"/>
  <c r="S53" i="192"/>
  <c r="I43" i="192"/>
  <c r="AC33" i="192"/>
  <c r="K35" i="193"/>
  <c r="T55" i="193"/>
  <c r="AM58" i="192"/>
  <c r="V30" i="193"/>
  <c r="AJ23" i="193"/>
  <c r="N35" i="192"/>
  <c r="AI58" i="192"/>
  <c r="AC55" i="193"/>
  <c r="I39" i="193"/>
  <c r="AR60" i="192"/>
  <c r="AJ26" i="193"/>
  <c r="S70" i="192"/>
  <c r="R29" i="192"/>
  <c r="H31" i="192"/>
  <c r="AB57" i="192"/>
  <c r="AI33" i="193"/>
  <c r="R64" i="192"/>
  <c r="H25" i="192"/>
  <c r="Z46" i="193"/>
  <c r="H31" i="193"/>
  <c r="Q29" i="193"/>
  <c r="AL59" i="192"/>
  <c r="AL24" i="192"/>
  <c r="R36" i="192"/>
  <c r="H52" i="192"/>
  <c r="AB63" i="192"/>
  <c r="Z61" i="193"/>
  <c r="Q51" i="193"/>
  <c r="AL27" i="192"/>
  <c r="AI27" i="193"/>
  <c r="R66" i="192"/>
  <c r="H63" i="192"/>
  <c r="Z40" i="193"/>
  <c r="H49" i="193"/>
  <c r="Q28" i="193"/>
  <c r="H45" i="192"/>
  <c r="AL55" i="192"/>
  <c r="R43" i="192"/>
  <c r="H51" i="192"/>
  <c r="AB26" i="192"/>
  <c r="H73" i="193"/>
  <c r="Q37" i="193"/>
  <c r="AL45" i="192"/>
  <c r="H61" i="193"/>
  <c r="AI64" i="193"/>
  <c r="H34" i="192"/>
  <c r="AL63" i="192"/>
  <c r="R42" i="192"/>
  <c r="H36" i="192"/>
  <c r="AB48" i="192"/>
  <c r="Z72" i="193"/>
  <c r="Q40" i="193"/>
  <c r="AL26" i="192"/>
  <c r="Q64" i="193"/>
  <c r="AI22" i="193"/>
  <c r="R51" i="192"/>
  <c r="H32" i="192"/>
  <c r="AB27" i="192"/>
  <c r="H36" i="193"/>
  <c r="Q70" i="193"/>
  <c r="AL52" i="192"/>
  <c r="Q59" i="193"/>
  <c r="S47" i="192"/>
  <c r="I73" i="192"/>
  <c r="AF52" i="192"/>
  <c r="AN56" i="193"/>
  <c r="X53" i="192"/>
  <c r="O43" i="192"/>
  <c r="AH33" i="192"/>
  <c r="M35" i="193"/>
  <c r="V55" i="193"/>
  <c r="AS58" i="192"/>
  <c r="T30" i="193"/>
  <c r="AO23" i="193"/>
  <c r="L35" i="192"/>
  <c r="AI62" i="193"/>
  <c r="R28" i="192"/>
  <c r="H44" i="192"/>
  <c r="AB68" i="192"/>
  <c r="AI66" i="193"/>
  <c r="R37" i="192"/>
  <c r="H49" i="192"/>
  <c r="Z29" i="193"/>
  <c r="H64" i="193"/>
  <c r="Q47" i="193"/>
  <c r="AL22" i="192"/>
  <c r="AI63" i="193"/>
  <c r="R27" i="192"/>
  <c r="H48" i="192"/>
  <c r="AB70" i="192"/>
  <c r="AF70" i="192" s="1"/>
  <c r="H55" i="193"/>
  <c r="I55" i="193" s="1"/>
  <c r="Q31" i="193"/>
  <c r="R31" i="193" s="1"/>
  <c r="AL54" i="192"/>
  <c r="AR54" i="192" s="1"/>
  <c r="AI37" i="193"/>
  <c r="AN37" i="193" s="1"/>
  <c r="R45" i="192"/>
  <c r="Y45" i="192" s="1"/>
  <c r="AB59" i="192"/>
  <c r="Z22" i="193"/>
  <c r="H57" i="193"/>
  <c r="Q63" i="193"/>
  <c r="AB50" i="192"/>
  <c r="AI36" i="193"/>
  <c r="R40" i="192"/>
  <c r="H46" i="192"/>
  <c r="AB39" i="192"/>
  <c r="H60" i="193"/>
  <c r="Q36" i="193"/>
  <c r="AL56" i="192"/>
  <c r="H62" i="193"/>
  <c r="AI72" i="193"/>
  <c r="H65" i="192"/>
  <c r="AI69" i="193"/>
  <c r="R72" i="192"/>
  <c r="H57" i="192"/>
  <c r="AB32" i="192"/>
  <c r="H30" i="193"/>
  <c r="Q24" i="193"/>
  <c r="AL51" i="192"/>
  <c r="Q41" i="193"/>
  <c r="AI58" i="193"/>
  <c r="R23" i="192"/>
  <c r="H30" i="192"/>
  <c r="Z67" i="193"/>
  <c r="H43" i="193"/>
  <c r="Q54" i="193"/>
  <c r="AL71" i="192"/>
  <c r="Q73" i="193"/>
  <c r="AO62" i="193"/>
  <c r="X47" i="192"/>
  <c r="Y28" i="192"/>
  <c r="L73" i="192"/>
  <c r="N44" i="192"/>
  <c r="AH52" i="192"/>
  <c r="AI68" i="192"/>
  <c r="AL56" i="193"/>
  <c r="AJ66" i="193"/>
  <c r="Y53" i="192"/>
  <c r="V37" i="192"/>
  <c r="N43" i="192"/>
  <c r="L49" i="192"/>
  <c r="AI33" i="192"/>
  <c r="AC29" i="193"/>
  <c r="N35" i="193"/>
  <c r="I64" i="193"/>
  <c r="W55" i="193"/>
  <c r="W47" i="193"/>
  <c r="AP58" i="192"/>
  <c r="AP22" i="192"/>
  <c r="W30" i="193"/>
  <c r="AJ63" i="193"/>
  <c r="AN23" i="193"/>
  <c r="V27" i="192"/>
  <c r="I35" i="192"/>
  <c r="N48" i="192"/>
  <c r="AF58" i="192"/>
  <c r="AI70" i="192"/>
  <c r="AF55" i="193"/>
  <c r="M55" i="193"/>
  <c r="M39" i="193"/>
  <c r="V31" i="193"/>
  <c r="AM60" i="192"/>
  <c r="AS54" i="192"/>
  <c r="AO26" i="193"/>
  <c r="AJ37" i="193"/>
  <c r="Y70" i="192"/>
  <c r="AI71" i="193"/>
  <c r="R41" i="192"/>
  <c r="H53" i="192"/>
  <c r="Z53" i="193"/>
  <c r="AI34" i="193"/>
  <c r="R52" i="192"/>
  <c r="AB45" i="192"/>
  <c r="Z64" i="193"/>
  <c r="H25" i="193"/>
  <c r="Q48" i="193"/>
  <c r="AL34" i="192"/>
  <c r="AI24" i="193"/>
  <c r="R25" i="192"/>
  <c r="H26" i="192"/>
  <c r="AB40" i="192"/>
  <c r="H70" i="193"/>
  <c r="Q68" i="193"/>
  <c r="AL62" i="192"/>
  <c r="AI67" i="193"/>
  <c r="H39" i="192"/>
  <c r="AB73" i="192"/>
  <c r="Z42" i="193"/>
  <c r="H23" i="193"/>
  <c r="AL31" i="192"/>
  <c r="AB29" i="192"/>
  <c r="AI25" i="193"/>
  <c r="R34" i="192"/>
  <c r="H55" i="192"/>
  <c r="Z59" i="193"/>
  <c r="H58" i="193"/>
  <c r="Q23" i="193"/>
  <c r="AL46" i="192"/>
  <c r="Q39" i="193"/>
  <c r="R73" i="192"/>
  <c r="AB34" i="192"/>
  <c r="AI57" i="193"/>
  <c r="R65" i="192"/>
  <c r="H23" i="192"/>
  <c r="AB53" i="192"/>
  <c r="H29" i="193"/>
  <c r="Q43" i="193"/>
  <c r="AL35" i="192"/>
  <c r="Q26" i="193"/>
  <c r="AI39" i="193"/>
  <c r="R68" i="192"/>
  <c r="H41" i="192"/>
  <c r="Z51" i="193"/>
  <c r="H68" i="193"/>
  <c r="Q33" i="193"/>
  <c r="AL39" i="192"/>
  <c r="Q57" i="193"/>
  <c r="AN62" i="193"/>
  <c r="Y47" i="192"/>
  <c r="V28" i="192"/>
  <c r="N73" i="192"/>
  <c r="O44" i="192"/>
  <c r="AI52" i="192"/>
  <c r="AC68" i="192"/>
  <c r="AJ56" i="193"/>
  <c r="AN66" i="193"/>
  <c r="V53" i="192"/>
  <c r="X37" i="192"/>
  <c r="L43" i="192"/>
  <c r="N49" i="192"/>
  <c r="AF33" i="192"/>
  <c r="AA29" i="193"/>
  <c r="I35" i="193"/>
  <c r="M64" i="193"/>
  <c r="R55" i="193"/>
  <c r="V47" i="193"/>
  <c r="AR58" i="192"/>
  <c r="AM22" i="192"/>
  <c r="R30" i="193"/>
  <c r="AL63" i="193"/>
  <c r="AL23" i="193"/>
  <c r="S27" i="192"/>
  <c r="O35" i="192"/>
  <c r="I48" i="192"/>
  <c r="AH58" i="192"/>
  <c r="AH70" i="192"/>
  <c r="AA55" i="193"/>
  <c r="N55" i="193"/>
  <c r="N39" i="193"/>
  <c r="W31" i="193"/>
  <c r="AS60" i="192"/>
  <c r="AP54" i="192"/>
  <c r="AN26" i="193"/>
  <c r="AL37" i="193"/>
  <c r="X70" i="192"/>
  <c r="AI68" i="193"/>
  <c r="R49" i="192"/>
  <c r="H50" i="192"/>
  <c r="Z34" i="193"/>
  <c r="AI54" i="193"/>
  <c r="H64" i="192"/>
  <c r="AB71" i="192"/>
  <c r="Z27" i="193"/>
  <c r="H51" i="193"/>
  <c r="AL70" i="192"/>
  <c r="H40" i="192"/>
  <c r="AI55" i="193"/>
  <c r="R69" i="192"/>
  <c r="H68" i="192"/>
  <c r="Z26" i="193"/>
  <c r="H69" i="193"/>
  <c r="Q42" i="193"/>
  <c r="H28" i="192"/>
  <c r="AI50" i="193"/>
  <c r="H72" i="192"/>
  <c r="AB46" i="192"/>
  <c r="Z24" i="193"/>
  <c r="H33" i="193"/>
  <c r="AL44" i="192"/>
  <c r="Z71" i="193"/>
  <c r="AI47" i="193"/>
  <c r="R48" i="192"/>
  <c r="AB55" i="192"/>
  <c r="Z31" i="193"/>
  <c r="H54" i="193"/>
  <c r="Q27" i="193"/>
  <c r="R59" i="192"/>
  <c r="AL42" i="192"/>
  <c r="R54" i="192"/>
  <c r="AB28" i="192"/>
  <c r="AI43" i="193"/>
  <c r="R39" i="192"/>
  <c r="H67" i="192"/>
  <c r="Z58" i="193"/>
  <c r="H41" i="193"/>
  <c r="Q62" i="193"/>
  <c r="AL64" i="192"/>
  <c r="AL68" i="192"/>
  <c r="AI35" i="193"/>
  <c r="R30" i="192"/>
  <c r="AB66" i="192"/>
  <c r="Z41" i="193"/>
  <c r="H45" i="193"/>
  <c r="Q61" i="193"/>
  <c r="Z43" i="193"/>
  <c r="AL25" i="192"/>
  <c r="AN71" i="193"/>
  <c r="Y29" i="192"/>
  <c r="X41" i="192"/>
  <c r="L31" i="192"/>
  <c r="O53" i="192"/>
  <c r="AH57" i="192"/>
  <c r="AA53" i="193"/>
  <c r="AN33" i="193"/>
  <c r="AO34" i="193"/>
  <c r="X64" i="192"/>
  <c r="X52" i="192"/>
  <c r="L25" i="192"/>
  <c r="AH45" i="192"/>
  <c r="AE46" i="193"/>
  <c r="AE64" i="193"/>
  <c r="M31" i="193"/>
  <c r="M25" i="193"/>
  <c r="R29" i="193"/>
  <c r="R48" i="193"/>
  <c r="AP59" i="192"/>
  <c r="AS34" i="192"/>
  <c r="AR24" i="192"/>
  <c r="AJ24" i="193"/>
  <c r="V36" i="192"/>
  <c r="V25" i="192"/>
  <c r="I52" i="192"/>
  <c r="I26" i="192"/>
  <c r="AI63" i="192"/>
  <c r="AH40" i="192"/>
  <c r="AF61" i="193"/>
  <c r="K70" i="193"/>
  <c r="V51" i="193"/>
  <c r="V68" i="193"/>
  <c r="AM27" i="192"/>
  <c r="AS62" i="192"/>
  <c r="AL27" i="193"/>
  <c r="AO67" i="193"/>
  <c r="V66" i="192"/>
  <c r="AI65" i="193"/>
  <c r="AJ65" i="193" s="1"/>
  <c r="R67" i="192"/>
  <c r="Y67" i="192" s="1"/>
  <c r="AB30" i="192"/>
  <c r="AC30" i="192" s="1"/>
  <c r="Z66" i="193"/>
  <c r="AA66" i="193" s="1"/>
  <c r="AI51" i="193"/>
  <c r="AJ51" i="193" s="1"/>
  <c r="H47" i="192"/>
  <c r="O47" i="192" s="1"/>
  <c r="AB56" i="192"/>
  <c r="AH56" i="192" s="1"/>
  <c r="Z63" i="193"/>
  <c r="AA63" i="193" s="1"/>
  <c r="H27" i="193"/>
  <c r="I27" i="193" s="1"/>
  <c r="AL41" i="192"/>
  <c r="AS41" i="192" s="1"/>
  <c r="Z44" i="193"/>
  <c r="AE44" i="193" s="1"/>
  <c r="AI32" i="193"/>
  <c r="AL32" i="193" s="1"/>
  <c r="R61" i="192"/>
  <c r="X61" i="192" s="1"/>
  <c r="H69" i="192"/>
  <c r="O69" i="192" s="1"/>
  <c r="Z60" i="193"/>
  <c r="AC60" i="193" s="1"/>
  <c r="H67" i="193"/>
  <c r="M67" i="193" s="1"/>
  <c r="Q67" i="193"/>
  <c r="T67" i="193" s="1"/>
  <c r="H52" i="193"/>
  <c r="K52" i="193" s="1"/>
  <c r="R24" i="192"/>
  <c r="V24" i="192" s="1"/>
  <c r="H22" i="192"/>
  <c r="AB64" i="192"/>
  <c r="Z62" i="193"/>
  <c r="Q66" i="193"/>
  <c r="AL57" i="192"/>
  <c r="Z56" i="193"/>
  <c r="AI44" i="193"/>
  <c r="R60" i="192"/>
  <c r="AB49" i="192"/>
  <c r="Z48" i="193"/>
  <c r="H37" i="193"/>
  <c r="Q44" i="193"/>
  <c r="AB42" i="192"/>
  <c r="AI48" i="193"/>
  <c r="R63" i="192"/>
  <c r="Z57" i="193"/>
  <c r="AI40" i="193"/>
  <c r="R62" i="192"/>
  <c r="AB37" i="192"/>
  <c r="Z52" i="193"/>
  <c r="H53" i="193"/>
  <c r="Q35" i="193"/>
  <c r="Z36" i="193"/>
  <c r="AL32" i="192"/>
  <c r="AI60" i="193"/>
  <c r="R57" i="192"/>
  <c r="AB62" i="192"/>
  <c r="Z49" i="193"/>
  <c r="H56" i="193"/>
  <c r="Q25" i="193"/>
  <c r="Z23" i="193"/>
  <c r="AL49" i="192"/>
  <c r="AL71" i="193"/>
  <c r="AL65" i="193"/>
  <c r="S29" i="192"/>
  <c r="V41" i="192"/>
  <c r="S67" i="192"/>
  <c r="O31" i="192"/>
  <c r="I53" i="192"/>
  <c r="AF30" i="192"/>
  <c r="AC57" i="192"/>
  <c r="AC53" i="193"/>
  <c r="AC66" i="193"/>
  <c r="AO33" i="193"/>
  <c r="AJ34" i="193"/>
  <c r="AL51" i="193"/>
  <c r="V64" i="192"/>
  <c r="S52" i="192"/>
  <c r="N47" i="192"/>
  <c r="N25" i="192"/>
  <c r="AF45" i="192"/>
  <c r="AI56" i="192"/>
  <c r="AA46" i="193"/>
  <c r="AF64" i="193"/>
  <c r="AC63" i="193"/>
  <c r="N31" i="193"/>
  <c r="K25" i="193"/>
  <c r="N27" i="193"/>
  <c r="V29" i="193"/>
  <c r="V48" i="193"/>
  <c r="AM41" i="192"/>
  <c r="AR59" i="192"/>
  <c r="AR34" i="192"/>
  <c r="AF44" i="193"/>
  <c r="AP24" i="192"/>
  <c r="AN24" i="193"/>
  <c r="AN32" i="193"/>
  <c r="X36" i="192"/>
  <c r="Y25" i="192"/>
  <c r="V61" i="192"/>
  <c r="N52" i="192"/>
  <c r="N26" i="192"/>
  <c r="L69" i="192"/>
  <c r="AF63" i="192"/>
  <c r="AI40" i="192"/>
  <c r="AE60" i="193"/>
  <c r="AE61" i="193"/>
  <c r="M70" i="193"/>
  <c r="K67" i="193"/>
  <c r="W51" i="193"/>
  <c r="R68" i="193"/>
  <c r="V67" i="193"/>
  <c r="AS27" i="192"/>
  <c r="AP62" i="192"/>
  <c r="M52" i="193"/>
  <c r="AO27" i="193"/>
  <c r="AL67" i="193"/>
  <c r="S24" i="192"/>
  <c r="Y66" i="192"/>
  <c r="AI59" i="193"/>
  <c r="R46" i="192"/>
  <c r="AB31" i="192"/>
  <c r="Z35" i="193"/>
  <c r="R44" i="192"/>
  <c r="H60" i="192"/>
  <c r="AB25" i="192"/>
  <c r="Z33" i="193"/>
  <c r="Q56" i="193"/>
  <c r="AL36" i="192"/>
  <c r="H59" i="193"/>
  <c r="AI52" i="193"/>
  <c r="R22" i="192"/>
  <c r="AB24" i="192"/>
  <c r="Z45" i="193"/>
  <c r="H28" i="193"/>
  <c r="Q72" i="193"/>
  <c r="Q45" i="193"/>
  <c r="R50" i="192"/>
  <c r="H24" i="192"/>
  <c r="AB54" i="192"/>
  <c r="H47" i="193"/>
  <c r="Q46" i="193"/>
  <c r="AL28" i="192"/>
  <c r="H32" i="193"/>
  <c r="AI42" i="193"/>
  <c r="H33" i="192"/>
  <c r="AB43" i="192"/>
  <c r="Z70" i="193"/>
  <c r="H50" i="193"/>
  <c r="AL69" i="192"/>
  <c r="AB41" i="192"/>
  <c r="AI31" i="193"/>
  <c r="R55" i="192"/>
  <c r="Z25" i="193"/>
  <c r="AI29" i="193"/>
  <c r="R33" i="192"/>
  <c r="AB23" i="192"/>
  <c r="Z50" i="193"/>
  <c r="H44" i="193"/>
  <c r="Q32" i="193"/>
  <c r="H22" i="193"/>
  <c r="AL50" i="192"/>
  <c r="AI53" i="193"/>
  <c r="H66" i="192"/>
  <c r="AB72" i="192"/>
  <c r="Z47" i="193"/>
  <c r="H34" i="193"/>
  <c r="AL67" i="192"/>
  <c r="H24" i="193"/>
  <c r="AL72" i="192"/>
  <c r="AJ71" i="193"/>
  <c r="AN65" i="193"/>
  <c r="V29" i="192"/>
  <c r="Y41" i="192"/>
  <c r="X67" i="192"/>
  <c r="N31" i="192"/>
  <c r="L53" i="192"/>
  <c r="AI30" i="192"/>
  <c r="AF57" i="192"/>
  <c r="AF53" i="193"/>
  <c r="AE66" i="193"/>
  <c r="AJ33" i="193"/>
  <c r="AL34" i="193"/>
  <c r="AN51" i="193"/>
  <c r="Y64" i="192"/>
  <c r="V52" i="192"/>
  <c r="I47" i="192"/>
  <c r="O25" i="192"/>
  <c r="AC45" i="192"/>
  <c r="AC56" i="192"/>
  <c r="AF46" i="193"/>
  <c r="AA64" i="193"/>
  <c r="AF63" i="193"/>
  <c r="K31" i="193"/>
  <c r="I25" i="193"/>
  <c r="M27" i="193"/>
  <c r="T29" i="193"/>
  <c r="T48" i="193"/>
  <c r="AP41" i="192"/>
  <c r="AM59" i="192"/>
  <c r="AM34" i="192"/>
  <c r="AC44" i="193"/>
  <c r="AM24" i="192"/>
  <c r="AO24" i="193"/>
  <c r="AJ32" i="193"/>
  <c r="Y36" i="192"/>
  <c r="S25" i="192"/>
  <c r="Y61" i="192"/>
  <c r="O52" i="192"/>
  <c r="L26" i="192"/>
  <c r="N69" i="192"/>
  <c r="AC63" i="192"/>
  <c r="AC40" i="192"/>
  <c r="AF60" i="193"/>
  <c r="AA61" i="193"/>
  <c r="I70" i="193"/>
  <c r="I67" i="193"/>
  <c r="R51" i="193"/>
  <c r="W68" i="193"/>
  <c r="W67" i="193"/>
  <c r="AR27" i="192"/>
  <c r="AR62" i="192"/>
  <c r="I52" i="193"/>
  <c r="AN27" i="193"/>
  <c r="AN67" i="193"/>
  <c r="Y24" i="192"/>
  <c r="X66" i="192"/>
  <c r="H29" i="192"/>
  <c r="AB69" i="192"/>
  <c r="H42" i="193"/>
  <c r="H71" i="193"/>
  <c r="AB44" i="192"/>
  <c r="AB47" i="192"/>
  <c r="AF40" i="192"/>
  <c r="N70" i="193"/>
  <c r="T68" i="193"/>
  <c r="AM62" i="192"/>
  <c r="AJ67" i="193"/>
  <c r="S45" i="192"/>
  <c r="N72" i="192"/>
  <c r="N24" i="192"/>
  <c r="O54" i="192"/>
  <c r="AC59" i="192"/>
  <c r="AF46" i="192"/>
  <c r="AI54" i="192"/>
  <c r="AE30" i="193"/>
  <c r="AA22" i="193"/>
  <c r="AE24" i="193"/>
  <c r="I47" i="193"/>
  <c r="N63" i="193"/>
  <c r="K57" i="193"/>
  <c r="I33" i="193"/>
  <c r="V46" i="193"/>
  <c r="T71" i="193"/>
  <c r="T63" i="193"/>
  <c r="AP44" i="192"/>
  <c r="AM28" i="192"/>
  <c r="AP47" i="192"/>
  <c r="AF50" i="192"/>
  <c r="AE71" i="193"/>
  <c r="N32" i="193"/>
  <c r="W60" i="193"/>
  <c r="AN36" i="193"/>
  <c r="AN47" i="193"/>
  <c r="AL42" i="193"/>
  <c r="V26" i="192"/>
  <c r="V40" i="192"/>
  <c r="V48" i="192"/>
  <c r="L33" i="192"/>
  <c r="O61" i="192"/>
  <c r="I46" i="192"/>
  <c r="AH55" i="192"/>
  <c r="AH43" i="192"/>
  <c r="AF36" i="192"/>
  <c r="AH39" i="192"/>
  <c r="AA31" i="193"/>
  <c r="AE70" i="193"/>
  <c r="AF73" i="193"/>
  <c r="I60" i="193"/>
  <c r="M54" i="193"/>
  <c r="N50" i="193"/>
  <c r="W65" i="193"/>
  <c r="V36" i="193"/>
  <c r="T27" i="193"/>
  <c r="AS69" i="192"/>
  <c r="AS66" i="192"/>
  <c r="AP56" i="192"/>
  <c r="V59" i="192"/>
  <c r="AH41" i="192"/>
  <c r="AE28" i="193"/>
  <c r="I62" i="193"/>
  <c r="AP42" i="192"/>
  <c r="AN31" i="193"/>
  <c r="AN41" i="193"/>
  <c r="AO72" i="193"/>
  <c r="X54" i="192"/>
  <c r="V55" i="192"/>
  <c r="L42" i="192"/>
  <c r="N65" i="192"/>
  <c r="AH28" i="192"/>
  <c r="AE25" i="193"/>
  <c r="W52" i="193"/>
  <c r="AJ69" i="193"/>
  <c r="AN43" i="193"/>
  <c r="AO29" i="193"/>
  <c r="X32" i="192"/>
  <c r="V72" i="192"/>
  <c r="V39" i="192"/>
  <c r="S33" i="192"/>
  <c r="I62" i="192"/>
  <c r="I57" i="192"/>
  <c r="I67" i="192"/>
  <c r="AI23" i="192"/>
  <c r="AC61" i="192"/>
  <c r="AC32" i="192"/>
  <c r="AA58" i="193"/>
  <c r="AF50" i="193"/>
  <c r="AA65" i="193"/>
  <c r="I30" i="193"/>
  <c r="K41" i="193"/>
  <c r="N44" i="193"/>
  <c r="V58" i="193"/>
  <c r="T24" i="193"/>
  <c r="V62" i="193"/>
  <c r="R32" i="193"/>
  <c r="AR30" i="192"/>
  <c r="AS51" i="192"/>
  <c r="AP64" i="192"/>
  <c r="K22" i="193"/>
  <c r="K65" i="193"/>
  <c r="T41" i="193"/>
  <c r="AB67" i="192"/>
  <c r="Z69" i="193"/>
  <c r="Q34" i="193"/>
  <c r="AL33" i="192"/>
  <c r="Z39" i="193"/>
  <c r="Z32" i="193"/>
  <c r="X29" i="192"/>
  <c r="AI57" i="192"/>
  <c r="S64" i="192"/>
  <c r="AC46" i="193"/>
  <c r="W29" i="193"/>
  <c r="AS24" i="192"/>
  <c r="L52" i="192"/>
  <c r="AA26" i="193"/>
  <c r="M69" i="193"/>
  <c r="W42" i="193"/>
  <c r="L28" i="192"/>
  <c r="AJ50" i="193"/>
  <c r="V45" i="192"/>
  <c r="O72" i="192"/>
  <c r="O24" i="192"/>
  <c r="I54" i="192"/>
  <c r="AI59" i="192"/>
  <c r="AH46" i="192"/>
  <c r="AH54" i="192"/>
  <c r="AC30" i="193"/>
  <c r="AC22" i="193"/>
  <c r="AA24" i="193"/>
  <c r="K47" i="193"/>
  <c r="I63" i="193"/>
  <c r="I57" i="193"/>
  <c r="N33" i="193"/>
  <c r="W46" i="193"/>
  <c r="V71" i="193"/>
  <c r="R63" i="193"/>
  <c r="AR44" i="192"/>
  <c r="AS28" i="192"/>
  <c r="AR47" i="192"/>
  <c r="AC50" i="192"/>
  <c r="AF71" i="193"/>
  <c r="I32" i="193"/>
  <c r="R60" i="193"/>
  <c r="AL36" i="193"/>
  <c r="AO47" i="193"/>
  <c r="AJ42" i="193"/>
  <c r="X26" i="192"/>
  <c r="Y40" i="192"/>
  <c r="Y48" i="192"/>
  <c r="O33" i="192"/>
  <c r="L61" i="192"/>
  <c r="L46" i="192"/>
  <c r="AI55" i="192"/>
  <c r="AI43" i="192"/>
  <c r="AI36" i="192"/>
  <c r="AC39" i="192"/>
  <c r="AF31" i="193"/>
  <c r="AA70" i="193"/>
  <c r="AE73" i="193"/>
  <c r="K60" i="193"/>
  <c r="K54" i="193"/>
  <c r="K50" i="193"/>
  <c r="V65" i="193"/>
  <c r="W36" i="193"/>
  <c r="V27" i="193"/>
  <c r="AM69" i="192"/>
  <c r="AM66" i="192"/>
  <c r="AS56" i="192"/>
  <c r="X59" i="192"/>
  <c r="AI41" i="192"/>
  <c r="AA28" i="193"/>
  <c r="N62" i="193"/>
  <c r="AS42" i="192"/>
  <c r="AJ31" i="193"/>
  <c r="AO41" i="193"/>
  <c r="AN72" i="193"/>
  <c r="S54" i="192"/>
  <c r="Y55" i="192"/>
  <c r="I42" i="192"/>
  <c r="O65" i="192"/>
  <c r="AC28" i="192"/>
  <c r="AF25" i="193"/>
  <c r="V52" i="193"/>
  <c r="AL69" i="193"/>
  <c r="AO43" i="193"/>
  <c r="AL29" i="193"/>
  <c r="Y32" i="192"/>
  <c r="X72" i="192"/>
  <c r="X39" i="192"/>
  <c r="V33" i="192"/>
  <c r="O62" i="192"/>
  <c r="L57" i="192"/>
  <c r="L67" i="192"/>
  <c r="AH23" i="192"/>
  <c r="AH61" i="192"/>
  <c r="AF32" i="192"/>
  <c r="AC58" i="193"/>
  <c r="AA50" i="193"/>
  <c r="AE65" i="193"/>
  <c r="K30" i="193"/>
  <c r="I41" i="193"/>
  <c r="I44" i="193"/>
  <c r="R58" i="193"/>
  <c r="R24" i="193"/>
  <c r="W62" i="193"/>
  <c r="T32" i="193"/>
  <c r="AM30" i="192"/>
  <c r="AR51" i="192"/>
  <c r="AR64" i="192"/>
  <c r="N22" i="193"/>
  <c r="M65" i="193"/>
  <c r="R41" i="193"/>
  <c r="AM68" i="192"/>
  <c r="AR50" i="192"/>
  <c r="AS48" i="192"/>
  <c r="AJ58" i="193"/>
  <c r="AJ35" i="193"/>
  <c r="AN53" i="193"/>
  <c r="V71" i="192"/>
  <c r="S23" i="192"/>
  <c r="V30" i="192"/>
  <c r="O66" i="192"/>
  <c r="I37" i="192"/>
  <c r="I30" i="192"/>
  <c r="AC66" i="192"/>
  <c r="AF72" i="192"/>
  <c r="AH65" i="192"/>
  <c r="AF67" i="193"/>
  <c r="Z68" i="193"/>
  <c r="H66" i="193"/>
  <c r="AL65" i="192"/>
  <c r="AB22" i="192"/>
  <c r="H26" i="193"/>
  <c r="Q49" i="193"/>
  <c r="S41" i="192"/>
  <c r="AE53" i="193"/>
  <c r="Y52" i="192"/>
  <c r="AC64" i="193"/>
  <c r="W48" i="193"/>
  <c r="AL24" i="193"/>
  <c r="O26" i="192"/>
  <c r="AA60" i="193"/>
  <c r="N67" i="193"/>
  <c r="R67" i="193"/>
  <c r="N52" i="193"/>
  <c r="X24" i="192"/>
  <c r="O39" i="192"/>
  <c r="O22" i="192"/>
  <c r="O63" i="192"/>
  <c r="AF73" i="192"/>
  <c r="AI64" i="192"/>
  <c r="AA40" i="193"/>
  <c r="AA42" i="193"/>
  <c r="AC62" i="193"/>
  <c r="K42" i="193"/>
  <c r="I49" i="193"/>
  <c r="I23" i="193"/>
  <c r="V66" i="193"/>
  <c r="T34" i="193"/>
  <c r="T28" i="193"/>
  <c r="AM31" i="192"/>
  <c r="AR57" i="192"/>
  <c r="AR65" i="192"/>
  <c r="I45" i="192"/>
  <c r="AC29" i="192"/>
  <c r="AA56" i="193"/>
  <c r="AM55" i="192"/>
  <c r="AL25" i="193"/>
  <c r="AJ44" i="193"/>
  <c r="S43" i="192"/>
  <c r="V34" i="192"/>
  <c r="S60" i="192"/>
  <c r="L51" i="192"/>
  <c r="O55" i="192"/>
  <c r="AF49" i="192"/>
  <c r="AH26" i="192"/>
  <c r="AF59" i="193"/>
  <c r="AE48" i="193"/>
  <c r="M73" i="193"/>
  <c r="N58" i="193"/>
  <c r="K37" i="193"/>
  <c r="I71" i="193"/>
  <c r="R37" i="193"/>
  <c r="V23" i="193"/>
  <c r="T44" i="193"/>
  <c r="AS33" i="192"/>
  <c r="AS45" i="192"/>
  <c r="AM46" i="192"/>
  <c r="AI42" i="192"/>
  <c r="AF22" i="192"/>
  <c r="K61" i="193"/>
  <c r="R39" i="193"/>
  <c r="AN48" i="193"/>
  <c r="AL64" i="193"/>
  <c r="Y73" i="192"/>
  <c r="Y63" i="192"/>
  <c r="I34" i="192"/>
  <c r="AI34" i="192"/>
  <c r="AC57" i="193"/>
  <c r="AP63" i="192"/>
  <c r="AJ57" i="193"/>
  <c r="AO40" i="193"/>
  <c r="V42" i="192"/>
  <c r="Y65" i="192"/>
  <c r="S62" i="192"/>
  <c r="L36" i="192"/>
  <c r="L23" i="192"/>
  <c r="AI37" i="192"/>
  <c r="AH44" i="192"/>
  <c r="AC48" i="192"/>
  <c r="AF53" i="192"/>
  <c r="AE52" i="193"/>
  <c r="AA39" i="193"/>
  <c r="AA72" i="193"/>
  <c r="K29" i="193"/>
  <c r="K53" i="193"/>
  <c r="I26" i="193"/>
  <c r="R40" i="193"/>
  <c r="W43" i="193"/>
  <c r="T35" i="193"/>
  <c r="AM26" i="192"/>
  <c r="AR35" i="192"/>
  <c r="AE36" i="193"/>
  <c r="AI61" i="193"/>
  <c r="Q22" i="193"/>
  <c r="AL40" i="192"/>
  <c r="Q53" i="193"/>
  <c r="T53" i="193" s="1"/>
  <c r="AI28" i="193"/>
  <c r="AO28" i="193" s="1"/>
  <c r="AL43" i="192"/>
  <c r="AS43" i="192" s="1"/>
  <c r="AL61" i="192"/>
  <c r="V67" i="192"/>
  <c r="AF66" i="193"/>
  <c r="L47" i="192"/>
  <c r="AE63" i="193"/>
  <c r="AR41" i="192"/>
  <c r="AO32" i="193"/>
  <c r="I69" i="192"/>
  <c r="AC45" i="193"/>
  <c r="N28" i="193"/>
  <c r="R72" i="193"/>
  <c r="R45" i="193"/>
  <c r="V50" i="192"/>
  <c r="L39" i="192"/>
  <c r="N22" i="192"/>
  <c r="L63" i="192"/>
  <c r="AC73" i="192"/>
  <c r="AF64" i="192"/>
  <c r="AC40" i="193"/>
  <c r="AE42" i="193"/>
  <c r="AF62" i="193"/>
  <c r="M42" i="193"/>
  <c r="K49" i="193"/>
  <c r="K23" i="193"/>
  <c r="W66" i="193"/>
  <c r="V34" i="193"/>
  <c r="R28" i="193"/>
  <c r="AP31" i="192"/>
  <c r="AS57" i="192"/>
  <c r="AM65" i="192"/>
  <c r="O45" i="192"/>
  <c r="AI29" i="192"/>
  <c r="AC56" i="193"/>
  <c r="V53" i="193"/>
  <c r="AP55" i="192"/>
  <c r="AJ25" i="193"/>
  <c r="AN44" i="193"/>
  <c r="X43" i="192"/>
  <c r="S34" i="192"/>
  <c r="X60" i="192"/>
  <c r="O51" i="192"/>
  <c r="N55" i="192"/>
  <c r="AC49" i="192"/>
  <c r="AF26" i="192"/>
  <c r="AC59" i="193"/>
  <c r="AF48" i="193"/>
  <c r="N73" i="193"/>
  <c r="I58" i="193"/>
  <c r="M37" i="193"/>
  <c r="K71" i="193"/>
  <c r="T37" i="193"/>
  <c r="R23" i="193"/>
  <c r="V44" i="193"/>
  <c r="AR33" i="192"/>
  <c r="AP45" i="192"/>
  <c r="AS46" i="192"/>
  <c r="AF42" i="192"/>
  <c r="AH22" i="192"/>
  <c r="I61" i="193"/>
  <c r="W39" i="193"/>
  <c r="AO48" i="193"/>
  <c r="AN28" i="193"/>
  <c r="AN64" i="193"/>
  <c r="X73" i="192"/>
  <c r="V63" i="192"/>
  <c r="L34" i="192"/>
  <c r="AC34" i="192"/>
  <c r="AF57" i="193"/>
  <c r="AR63" i="192"/>
  <c r="AL57" i="193"/>
  <c r="AN40" i="193"/>
  <c r="X42" i="192"/>
  <c r="V65" i="192"/>
  <c r="V62" i="192"/>
  <c r="I36" i="192"/>
  <c r="I23" i="192"/>
  <c r="AF37" i="192"/>
  <c r="AC44" i="192"/>
  <c r="AI48" i="192"/>
  <c r="AH53" i="192"/>
  <c r="AF52" i="193"/>
  <c r="AF39" i="193"/>
  <c r="AC72" i="193"/>
  <c r="N29" i="193"/>
  <c r="M53" i="193"/>
  <c r="M26" i="193"/>
  <c r="T40" i="193"/>
  <c r="R43" i="193"/>
  <c r="W35" i="193"/>
  <c r="AP43" i="192"/>
  <c r="AP26" i="192"/>
  <c r="AP35" i="192"/>
  <c r="AF36" i="193"/>
  <c r="W64" i="193"/>
  <c r="T26" i="193"/>
  <c r="H58" i="192"/>
  <c r="AL53" i="192"/>
  <c r="AI30" i="193"/>
  <c r="AI45" i="193"/>
  <c r="R58" i="192"/>
  <c r="H48" i="193"/>
  <c r="M48" i="193" s="1"/>
  <c r="H72" i="193"/>
  <c r="L58" i="192"/>
  <c r="I29" i="192"/>
  <c r="AA68" i="193"/>
  <c r="AM53" i="192"/>
  <c r="AH69" i="192"/>
  <c r="AA69" i="193"/>
  <c r="I66" i="193"/>
  <c r="AM40" i="192"/>
  <c r="AO30" i="193"/>
  <c r="N39" i="192"/>
  <c r="L22" i="192"/>
  <c r="I63" i="192"/>
  <c r="AH73" i="192"/>
  <c r="AC64" i="192"/>
  <c r="AE40" i="193"/>
  <c r="AF42" i="193"/>
  <c r="AE62" i="193"/>
  <c r="N42" i="193"/>
  <c r="M49" i="193"/>
  <c r="N23" i="193"/>
  <c r="T66" i="193"/>
  <c r="W34" i="193"/>
  <c r="V28" i="193"/>
  <c r="AR31" i="192"/>
  <c r="AM57" i="192"/>
  <c r="AS65" i="192"/>
  <c r="N45" i="192"/>
  <c r="AH29" i="192"/>
  <c r="AE56" i="193"/>
  <c r="W53" i="193"/>
  <c r="AS55" i="192"/>
  <c r="AO25" i="193"/>
  <c r="AO44" i="193"/>
  <c r="AO45" i="193"/>
  <c r="Y43" i="192"/>
  <c r="X34" i="192"/>
  <c r="V60" i="192"/>
  <c r="N51" i="192"/>
  <c r="I55" i="192"/>
  <c r="AH49" i="192"/>
  <c r="AC26" i="192"/>
  <c r="AA59" i="193"/>
  <c r="AA48" i="193"/>
  <c r="K73" i="193"/>
  <c r="K58" i="193"/>
  <c r="N37" i="193"/>
  <c r="M71" i="193"/>
  <c r="V37" i="193"/>
  <c r="T23" i="193"/>
  <c r="R44" i="193"/>
  <c r="AM33" i="192"/>
  <c r="AR45" i="192"/>
  <c r="AP46" i="192"/>
  <c r="AH42" i="192"/>
  <c r="AC22" i="192"/>
  <c r="N61" i="193"/>
  <c r="T39" i="193"/>
  <c r="AL48" i="193"/>
  <c r="AL28" i="193"/>
  <c r="AO64" i="193"/>
  <c r="S73" i="192"/>
  <c r="S63" i="192"/>
  <c r="V58" i="192"/>
  <c r="N34" i="192"/>
  <c r="AH34" i="192"/>
  <c r="AA57" i="193"/>
  <c r="AM63" i="192"/>
  <c r="AN57" i="193"/>
  <c r="AL40" i="193"/>
  <c r="S42" i="192"/>
  <c r="X65" i="192"/>
  <c r="Y62" i="192"/>
  <c r="N36" i="192"/>
  <c r="N23" i="192"/>
  <c r="AC37" i="192"/>
  <c r="AI44" i="192"/>
  <c r="AH48" i="192"/>
  <c r="AC53" i="192"/>
  <c r="AC52" i="193"/>
  <c r="AE39" i="193"/>
  <c r="AE72" i="193"/>
  <c r="M29" i="193"/>
  <c r="N53" i="193"/>
  <c r="K26" i="193"/>
  <c r="V40" i="193"/>
  <c r="T43" i="193"/>
  <c r="R35" i="193"/>
  <c r="AR43" i="192"/>
  <c r="AR26" i="192"/>
  <c r="AM35" i="192"/>
  <c r="AA36" i="193"/>
  <c r="AB60" i="192"/>
  <c r="Q50" i="193"/>
  <c r="R35" i="192"/>
  <c r="H71" i="192"/>
  <c r="H46" i="193"/>
  <c r="AL37" i="192"/>
  <c r="AL23" i="192"/>
  <c r="I31" i="192"/>
  <c r="AL33" i="193"/>
  <c r="I25" i="192"/>
  <c r="I31" i="193"/>
  <c r="AS59" i="192"/>
  <c r="S36" i="192"/>
  <c r="AC58" i="192"/>
  <c r="AE55" i="193"/>
  <c r="K39" i="193"/>
  <c r="AP60" i="192"/>
  <c r="AL26" i="193"/>
  <c r="V70" i="192"/>
  <c r="I39" i="192"/>
  <c r="I22" i="192"/>
  <c r="N63" i="192"/>
  <c r="AI73" i="192"/>
  <c r="AH64" i="192"/>
  <c r="AF40" i="193"/>
  <c r="AC42" i="193"/>
  <c r="AA62" i="193"/>
  <c r="I42" i="193"/>
  <c r="N49" i="193"/>
  <c r="M23" i="193"/>
  <c r="R66" i="193"/>
  <c r="R34" i="193"/>
  <c r="W28" i="193"/>
  <c r="AS31" i="192"/>
  <c r="AP57" i="192"/>
  <c r="AP65" i="192"/>
  <c r="L45" i="192"/>
  <c r="AF29" i="192"/>
  <c r="AF56" i="193"/>
  <c r="R53" i="193"/>
  <c r="AR55" i="192"/>
  <c r="AN25" i="193"/>
  <c r="AL44" i="193"/>
  <c r="AJ45" i="193"/>
  <c r="V43" i="192"/>
  <c r="Y34" i="192"/>
  <c r="Y60" i="192"/>
  <c r="L71" i="192"/>
  <c r="I51" i="192"/>
  <c r="L55" i="192"/>
  <c r="AI49" i="192"/>
  <c r="AI26" i="192"/>
  <c r="AE59" i="193"/>
  <c r="AC48" i="193"/>
  <c r="I73" i="193"/>
  <c r="M58" i="193"/>
  <c r="I37" i="193"/>
  <c r="N71" i="193"/>
  <c r="W37" i="193"/>
  <c r="W23" i="193"/>
  <c r="W44" i="193"/>
  <c r="AP33" i="192"/>
  <c r="AM45" i="192"/>
  <c r="AR46" i="192"/>
  <c r="AC42" i="192"/>
  <c r="AI22" i="192"/>
  <c r="M61" i="193"/>
  <c r="V39" i="193"/>
  <c r="AJ48" i="193"/>
  <c r="AJ28" i="193"/>
  <c r="AJ64" i="193"/>
  <c r="V73" i="192"/>
  <c r="X63" i="192"/>
  <c r="X58" i="192"/>
  <c r="O34" i="192"/>
  <c r="AF34" i="192"/>
  <c r="AE57" i="193"/>
  <c r="N46" i="193"/>
  <c r="AS63" i="192"/>
  <c r="AO57" i="193"/>
  <c r="AJ40" i="193"/>
  <c r="Y42" i="192"/>
  <c r="S65" i="192"/>
  <c r="X62" i="192"/>
  <c r="O36" i="192"/>
  <c r="O23" i="192"/>
  <c r="AH37" i="192"/>
  <c r="AF44" i="192"/>
  <c r="AF48" i="192"/>
  <c r="AI53" i="192"/>
  <c r="AA52" i="193"/>
  <c r="AC39" i="193"/>
  <c r="AF72" i="193"/>
  <c r="I29" i="193"/>
  <c r="I53" i="193"/>
  <c r="N26" i="193"/>
  <c r="W40" i="193"/>
  <c r="V43" i="193"/>
  <c r="V35" i="193"/>
  <c r="AM43" i="192"/>
  <c r="AS26" i="192"/>
  <c r="AS35" i="192"/>
  <c r="AC36" i="193"/>
  <c r="N48" i="193"/>
  <c r="T64" i="193"/>
  <c r="V26" i="193"/>
  <c r="AS32" i="192"/>
  <c r="AP37" i="192"/>
  <c r="AI49" i="193"/>
  <c r="AI70" i="193"/>
  <c r="H70" i="192"/>
  <c r="AB51" i="192"/>
  <c r="AI46" i="193"/>
  <c r="R56" i="192"/>
  <c r="AO71" i="193"/>
  <c r="N53" i="192"/>
  <c r="AN34" i="193"/>
  <c r="AI45" i="192"/>
  <c r="N25" i="193"/>
  <c r="AP34" i="192"/>
  <c r="X25" i="192"/>
  <c r="AH63" i="192"/>
  <c r="AC61" i="193"/>
  <c r="T51" i="193"/>
  <c r="AP27" i="192"/>
  <c r="AJ27" i="193"/>
  <c r="S66" i="192"/>
  <c r="I72" i="192"/>
  <c r="L24" i="192"/>
  <c r="N54" i="192"/>
  <c r="AF59" i="192"/>
  <c r="AC46" i="192"/>
  <c r="AF54" i="192"/>
  <c r="AF30" i="193"/>
  <c r="AF22" i="193"/>
  <c r="AF24" i="193"/>
  <c r="M47" i="193"/>
  <c r="K63" i="193"/>
  <c r="M57" i="193"/>
  <c r="K33" i="193"/>
  <c r="R46" i="193"/>
  <c r="R71" i="193"/>
  <c r="V63" i="193"/>
  <c r="AS44" i="192"/>
  <c r="AP28" i="192"/>
  <c r="AM47" i="192"/>
  <c r="AH50" i="192"/>
  <c r="AA71" i="193"/>
  <c r="M32" i="193"/>
  <c r="T60" i="193"/>
  <c r="AJ36" i="193"/>
  <c r="AJ47" i="193"/>
  <c r="AN42" i="193"/>
  <c r="Y26" i="192"/>
  <c r="X40" i="192"/>
  <c r="S48" i="192"/>
  <c r="I33" i="192"/>
  <c r="N61" i="192"/>
  <c r="N46" i="192"/>
  <c r="AC55" i="192"/>
  <c r="AC43" i="192"/>
  <c r="AC36" i="192"/>
  <c r="AI39" i="192"/>
  <c r="AC31" i="193"/>
  <c r="AF70" i="193"/>
  <c r="AA73" i="193"/>
  <c r="M60" i="193"/>
  <c r="I54" i="193"/>
  <c r="M50" i="193"/>
  <c r="R65" i="193"/>
  <c r="R36" i="193"/>
  <c r="R27" i="193"/>
  <c r="AR69" i="192"/>
  <c r="AP66" i="192"/>
  <c r="AM56" i="192"/>
  <c r="Y59" i="192"/>
  <c r="AC41" i="192"/>
  <c r="AC28" i="193"/>
  <c r="K62" i="193"/>
  <c r="AR42" i="192"/>
  <c r="AO31" i="193"/>
  <c r="AJ41" i="193"/>
  <c r="AJ72" i="193"/>
  <c r="V54" i="192"/>
  <c r="X55" i="192"/>
  <c r="O42" i="192"/>
  <c r="I65" i="192"/>
  <c r="AI28" i="192"/>
  <c r="AC25" i="193"/>
  <c r="R52" i="193"/>
  <c r="AN69" i="193"/>
  <c r="AJ43" i="193"/>
  <c r="AJ29" i="193"/>
  <c r="S32" i="192"/>
  <c r="Y72" i="192"/>
  <c r="S39" i="192"/>
  <c r="X33" i="192"/>
  <c r="L62" i="192"/>
  <c r="N57" i="192"/>
  <c r="N67" i="192"/>
  <c r="AF23" i="192"/>
  <c r="AF61" i="192"/>
  <c r="AI32" i="192"/>
  <c r="AE58" i="193"/>
  <c r="AC50" i="193"/>
  <c r="AF65" i="193"/>
  <c r="M30" i="193"/>
  <c r="M41" i="193"/>
  <c r="M44" i="193"/>
  <c r="W58" i="193"/>
  <c r="W24" i="193"/>
  <c r="R62" i="193"/>
  <c r="V32" i="193"/>
  <c r="AP30" i="192"/>
  <c r="AM51" i="192"/>
  <c r="AM64" i="192"/>
  <c r="M22" i="193"/>
  <c r="N65" i="193"/>
  <c r="V41" i="193"/>
  <c r="AR68" i="192"/>
  <c r="AP50" i="192"/>
  <c r="AM48" i="192"/>
  <c r="H56" i="192"/>
  <c r="S61" i="192"/>
  <c r="I24" i="192"/>
  <c r="N47" i="193"/>
  <c r="AR28" i="192"/>
  <c r="AO42" i="193"/>
  <c r="AF43" i="192"/>
  <c r="I50" i="193"/>
  <c r="AF41" i="192"/>
  <c r="S55" i="192"/>
  <c r="AN29" i="193"/>
  <c r="AC23" i="192"/>
  <c r="K44" i="193"/>
  <c r="I22" i="193"/>
  <c r="W26" i="193"/>
  <c r="AS37" i="192"/>
  <c r="AJ22" i="193"/>
  <c r="AN35" i="193"/>
  <c r="AJ53" i="193"/>
  <c r="S71" i="192"/>
  <c r="S68" i="192"/>
  <c r="Y57" i="192"/>
  <c r="O32" i="192"/>
  <c r="AF66" i="192"/>
  <c r="AI72" i="192"/>
  <c r="AI65" i="192"/>
  <c r="AC51" i="193"/>
  <c r="AC49" i="193"/>
  <c r="AA32" i="193"/>
  <c r="M36" i="193"/>
  <c r="K68" i="193"/>
  <c r="N56" i="193"/>
  <c r="R49" i="193"/>
  <c r="R70" i="193"/>
  <c r="T33" i="193"/>
  <c r="V25" i="193"/>
  <c r="AR61" i="192"/>
  <c r="AP52" i="192"/>
  <c r="AP39" i="192"/>
  <c r="AC23" i="193"/>
  <c r="K72" i="193"/>
  <c r="R59" i="193"/>
  <c r="W57" i="193"/>
  <c r="AP49" i="192"/>
  <c r="AM23" i="192"/>
  <c r="W25" i="193"/>
  <c r="AR39" i="192"/>
  <c r="M72" i="193"/>
  <c r="V57" i="193"/>
  <c r="AR23" i="192"/>
  <c r="T57" i="193"/>
  <c r="AS49" i="192"/>
  <c r="AP71" i="192"/>
  <c r="AP25" i="192"/>
  <c r="AM72" i="192"/>
  <c r="L72" i="192"/>
  <c r="AM44" i="192"/>
  <c r="AL43" i="193"/>
  <c r="AO22" i="193"/>
  <c r="X57" i="192"/>
  <c r="AE67" i="193"/>
  <c r="R69" i="193"/>
  <c r="AP29" i="192"/>
  <c r="AM25" i="192"/>
  <c r="H59" i="192"/>
  <c r="N59" i="192" s="1"/>
  <c r="AC70" i="192"/>
  <c r="L54" i="192"/>
  <c r="M63" i="193"/>
  <c r="AS47" i="192"/>
  <c r="S26" i="192"/>
  <c r="AH36" i="192"/>
  <c r="T65" i="193"/>
  <c r="AF28" i="193"/>
  <c r="N42" i="192"/>
  <c r="V32" i="192"/>
  <c r="AI61" i="192"/>
  <c r="T58" i="193"/>
  <c r="I48" i="193"/>
  <c r="AP68" i="192"/>
  <c r="AM37" i="192"/>
  <c r="AN58" i="193"/>
  <c r="AO35" i="193"/>
  <c r="AL53" i="193"/>
  <c r="V51" i="192"/>
  <c r="X68" i="192"/>
  <c r="V57" i="192"/>
  <c r="L59" i="192"/>
  <c r="N30" i="192"/>
  <c r="AH66" i="192"/>
  <c r="AH72" i="192"/>
  <c r="AI27" i="192"/>
  <c r="AF51" i="193"/>
  <c r="AA49" i="193"/>
  <c r="AE32" i="193"/>
  <c r="N36" i="193"/>
  <c r="M68" i="193"/>
  <c r="K56" i="193"/>
  <c r="T49" i="193"/>
  <c r="T70" i="193"/>
  <c r="V33" i="193"/>
  <c r="AS61" i="192"/>
  <c r="AM52" i="192"/>
  <c r="AE23" i="193"/>
  <c r="T59" i="193"/>
  <c r="AR49" i="192"/>
  <c r="AM49" i="192"/>
  <c r="W61" i="193"/>
  <c r="AR72" i="192"/>
  <c r="O67" i="192"/>
  <c r="I45" i="193"/>
  <c r="AO65" i="193"/>
  <c r="K55" i="193"/>
  <c r="AH59" i="192"/>
  <c r="N57" i="193"/>
  <c r="AI50" i="192"/>
  <c r="S40" i="192"/>
  <c r="AF39" i="192"/>
  <c r="T36" i="193"/>
  <c r="M62" i="193"/>
  <c r="L65" i="192"/>
  <c r="S72" i="192"/>
  <c r="AH32" i="192"/>
  <c r="V24" i="193"/>
  <c r="K48" i="193"/>
  <c r="AS68" i="192"/>
  <c r="AR37" i="192"/>
  <c r="AO58" i="193"/>
  <c r="AL35" i="193"/>
  <c r="V56" i="192"/>
  <c r="Y51" i="192"/>
  <c r="V68" i="192"/>
  <c r="S57" i="192"/>
  <c r="N37" i="192"/>
  <c r="O30" i="192"/>
  <c r="AI66" i="192"/>
  <c r="AF47" i="192"/>
  <c r="AH27" i="192"/>
  <c r="AA51" i="193"/>
  <c r="AE49" i="193"/>
  <c r="AC32" i="193"/>
  <c r="I36" i="193"/>
  <c r="N68" i="193"/>
  <c r="M56" i="193"/>
  <c r="V49" i="193"/>
  <c r="W70" i="193"/>
  <c r="W33" i="193"/>
  <c r="R25" i="193"/>
  <c r="AP61" i="192"/>
  <c r="AR52" i="192"/>
  <c r="AS39" i="192"/>
  <c r="AF23" i="193"/>
  <c r="I72" i="193"/>
  <c r="V59" i="193"/>
  <c r="AP23" i="192"/>
  <c r="AR29" i="192"/>
  <c r="K40" i="193"/>
  <c r="AS72" i="192"/>
  <c r="AF55" i="192"/>
  <c r="AS50" i="192"/>
  <c r="X23" i="192"/>
  <c r="AC72" i="192"/>
  <c r="AF37" i="193"/>
  <c r="AP67" i="192"/>
  <c r="I40" i="193"/>
  <c r="AH30" i="192"/>
  <c r="T31" i="193"/>
  <c r="AI46" i="192"/>
  <c r="M33" i="193"/>
  <c r="AC71" i="193"/>
  <c r="X48" i="192"/>
  <c r="AE31" i="193"/>
  <c r="W27" i="193"/>
  <c r="AM42" i="192"/>
  <c r="AF28" i="192"/>
  <c r="Y39" i="192"/>
  <c r="AF58" i="193"/>
  <c r="T62" i="193"/>
  <c r="I65" i="193"/>
  <c r="AM32" i="192"/>
  <c r="AR48" i="192"/>
  <c r="AL58" i="193"/>
  <c r="AJ60" i="193"/>
  <c r="Y56" i="192"/>
  <c r="X51" i="192"/>
  <c r="Y68" i="192"/>
  <c r="N66" i="192"/>
  <c r="O37" i="192"/>
  <c r="L30" i="192"/>
  <c r="AH62" i="192"/>
  <c r="AH47" i="192"/>
  <c r="AC27" i="192"/>
  <c r="AE51" i="193"/>
  <c r="AF49" i="193"/>
  <c r="AF32" i="193"/>
  <c r="K36" i="193"/>
  <c r="I68" i="193"/>
  <c r="I56" i="193"/>
  <c r="W49" i="193"/>
  <c r="V70" i="193"/>
  <c r="R33" i="193"/>
  <c r="T25" i="193"/>
  <c r="AM61" i="192"/>
  <c r="AS52" i="192"/>
  <c r="AM39" i="192"/>
  <c r="AA23" i="193"/>
  <c r="N72" i="193"/>
  <c r="W59" i="193"/>
  <c r="R57" i="193"/>
  <c r="AS23" i="192"/>
  <c r="AE43" i="193"/>
  <c r="V73" i="193"/>
  <c r="AS25" i="192"/>
  <c r="Y54" i="192"/>
  <c r="I43" i="193"/>
  <c r="R31" i="192"/>
  <c r="AO51" i="193"/>
  <c r="AM54" i="192"/>
  <c r="AC54" i="192"/>
  <c r="T46" i="193"/>
  <c r="K32" i="193"/>
  <c r="N33" i="192"/>
  <c r="AC70" i="193"/>
  <c r="AP69" i="192"/>
  <c r="AL31" i="193"/>
  <c r="AA25" i="193"/>
  <c r="Y33" i="192"/>
  <c r="AE50" i="193"/>
  <c r="W32" i="193"/>
  <c r="V64" i="193"/>
  <c r="AP32" i="192"/>
  <c r="AP48" i="192"/>
  <c r="AL39" i="193"/>
  <c r="AN60" i="193"/>
  <c r="X56" i="192"/>
  <c r="S51" i="192"/>
  <c r="X30" i="192"/>
  <c r="I66" i="192"/>
  <c r="L37" i="192"/>
  <c r="O41" i="192"/>
  <c r="AC62" i="192"/>
  <c r="AC47" i="192"/>
  <c r="AF27" i="192"/>
  <c r="AC41" i="193"/>
  <c r="AF47" i="193"/>
  <c r="AA37" i="193"/>
  <c r="K43" i="193"/>
  <c r="M45" i="193"/>
  <c r="M34" i="193"/>
  <c r="T69" i="193"/>
  <c r="R54" i="193"/>
  <c r="AS67" i="192"/>
  <c r="M24" i="193"/>
  <c r="W73" i="193"/>
  <c r="Z54" i="193"/>
  <c r="AL47" i="193"/>
  <c r="N41" i="193"/>
  <c r="AN39" i="193"/>
  <c r="I59" i="192"/>
  <c r="AC65" i="192"/>
  <c r="I34" i="193"/>
  <c r="AM71" i="192"/>
  <c r="R73" i="193"/>
  <c r="H27" i="192"/>
  <c r="AF56" i="192"/>
  <c r="AO37" i="193"/>
  <c r="AA30" i="193"/>
  <c r="W71" i="193"/>
  <c r="V60" i="193"/>
  <c r="I61" i="192"/>
  <c r="AC73" i="193"/>
  <c r="AR66" i="192"/>
  <c r="AL41" i="193"/>
  <c r="T52" i="193"/>
  <c r="N62" i="192"/>
  <c r="AC65" i="193"/>
  <c r="AS30" i="192"/>
  <c r="R64" i="193"/>
  <c r="AR32" i="192"/>
  <c r="AN22" i="193"/>
  <c r="AO39" i="193"/>
  <c r="AO60" i="193"/>
  <c r="S56" i="192"/>
  <c r="Y23" i="192"/>
  <c r="S30" i="192"/>
  <c r="L66" i="192"/>
  <c r="L32" i="192"/>
  <c r="N41" i="192"/>
  <c r="AI62" i="192"/>
  <c r="AI47" i="192"/>
  <c r="AA67" i="193"/>
  <c r="AF41" i="193"/>
  <c r="AA47" i="193"/>
  <c r="AC37" i="193"/>
  <c r="M43" i="193"/>
  <c r="N45" i="193"/>
  <c r="N34" i="193"/>
  <c r="V69" i="193"/>
  <c r="T54" i="193"/>
  <c r="R61" i="193"/>
  <c r="AM67" i="192"/>
  <c r="AS29" i="192"/>
  <c r="AR71" i="192"/>
  <c r="AF43" i="193"/>
  <c r="N24" i="193"/>
  <c r="M40" i="193"/>
  <c r="AR25" i="192"/>
  <c r="AA44" i="193"/>
  <c r="N54" i="193"/>
  <c r="AS64" i="192"/>
  <c r="AO53" i="193"/>
  <c r="I32" i="192"/>
  <c r="AA41" i="193"/>
  <c r="V54" i="193"/>
  <c r="I24" i="193"/>
  <c r="AB35" i="192"/>
  <c r="K27" i="193"/>
  <c r="X45" i="192"/>
  <c r="AE22" i="193"/>
  <c r="W63" i="193"/>
  <c r="AO36" i="193"/>
  <c r="O46" i="192"/>
  <c r="N60" i="193"/>
  <c r="AR56" i="192"/>
  <c r="AL72" i="193"/>
  <c r="AO69" i="193"/>
  <c r="O57" i="192"/>
  <c r="N30" i="193"/>
  <c r="AP51" i="192"/>
  <c r="W41" i="193"/>
  <c r="AM50" i="192"/>
  <c r="AL22" i="193"/>
  <c r="AJ39" i="193"/>
  <c r="AL60" i="193"/>
  <c r="Y71" i="192"/>
  <c r="V23" i="192"/>
  <c r="Y30" i="192"/>
  <c r="O59" i="192"/>
  <c r="N32" i="192"/>
  <c r="L41" i="192"/>
  <c r="AF62" i="192"/>
  <c r="AF65" i="192"/>
  <c r="AC67" i="193"/>
  <c r="AE41" i="193"/>
  <c r="AC47" i="193"/>
  <c r="AE37" i="193"/>
  <c r="N43" i="193"/>
  <c r="K45" i="193"/>
  <c r="K34" i="193"/>
  <c r="W69" i="193"/>
  <c r="W54" i="193"/>
  <c r="T61" i="193"/>
  <c r="AR67" i="192"/>
  <c r="AM29" i="192"/>
  <c r="AS71" i="192"/>
  <c r="AC43" i="193"/>
  <c r="K24" i="193"/>
  <c r="N40" i="193"/>
  <c r="T73" i="193"/>
  <c r="AC24" i="193"/>
  <c r="S59" i="192"/>
  <c r="R26" i="193"/>
  <c r="X71" i="192"/>
  <c r="I41" i="192"/>
  <c r="AE47" i="193"/>
  <c r="V61" i="193"/>
  <c r="AA43" i="193"/>
  <c r="AP72" i="192"/>
  <c r="AJ62" i="193"/>
  <c r="AL62" i="193"/>
  <c r="X28" i="192"/>
  <c r="S28" i="192"/>
  <c r="I44" i="192"/>
  <c r="L44" i="192"/>
  <c r="AH68" i="192"/>
  <c r="AF68" i="192"/>
  <c r="AO66" i="193"/>
  <c r="AL66" i="193"/>
  <c r="Y37" i="192"/>
  <c r="S37" i="192"/>
  <c r="I49" i="192"/>
  <c r="O49" i="192"/>
  <c r="AF29" i="193"/>
  <c r="AE29" i="193"/>
  <c r="N64" i="193"/>
  <c r="K64" i="193"/>
  <c r="R47" i="193"/>
  <c r="T47" i="193"/>
  <c r="AR22" i="192"/>
  <c r="AS22" i="192"/>
  <c r="AO63" i="193"/>
  <c r="AN63" i="193"/>
  <c r="X27" i="192"/>
  <c r="Y27" i="192"/>
  <c r="O48" i="192"/>
  <c r="L48" i="192"/>
  <c r="AJ68" i="193"/>
  <c r="AL68" i="193"/>
  <c r="AO68" i="193"/>
  <c r="AN68" i="193"/>
  <c r="X49" i="192"/>
  <c r="S49" i="192"/>
  <c r="Y49" i="192"/>
  <c r="V49" i="192"/>
  <c r="I50" i="192"/>
  <c r="O50" i="192"/>
  <c r="L50" i="192"/>
  <c r="N50" i="192"/>
  <c r="AE34" i="193"/>
  <c r="AF34" i="193"/>
  <c r="AC34" i="193"/>
  <c r="AA34" i="193"/>
  <c r="AL54" i="193"/>
  <c r="AJ54" i="193"/>
  <c r="AO54" i="193"/>
  <c r="AN54" i="193"/>
  <c r="O64" i="192"/>
  <c r="L64" i="192"/>
  <c r="I64" i="192"/>
  <c r="N64" i="192"/>
  <c r="AC71" i="192"/>
  <c r="AF71" i="192"/>
  <c r="AH71" i="192"/>
  <c r="AI71" i="192"/>
  <c r="AA27" i="193"/>
  <c r="AF27" i="193"/>
  <c r="AE27" i="193"/>
  <c r="AC27" i="193"/>
  <c r="K51" i="193"/>
  <c r="M51" i="193"/>
  <c r="N51" i="193"/>
  <c r="I51" i="193"/>
  <c r="AR70" i="192"/>
  <c r="AM70" i="192"/>
  <c r="AP70" i="192"/>
  <c r="AS70" i="192"/>
  <c r="L40" i="192"/>
  <c r="I40" i="192"/>
  <c r="O40" i="192"/>
  <c r="N40" i="192"/>
  <c r="AN55" i="193"/>
  <c r="AJ55" i="193"/>
  <c r="AO55" i="193"/>
  <c r="AL55" i="193"/>
  <c r="Y69" i="192"/>
  <c r="V69" i="192"/>
  <c r="S69" i="192"/>
  <c r="X69" i="192"/>
  <c r="I68" i="192"/>
  <c r="O68" i="192"/>
  <c r="N68" i="192"/>
  <c r="L68" i="192"/>
  <c r="AC26" i="193"/>
  <c r="AF26" i="193"/>
  <c r="AE26" i="193"/>
  <c r="I69" i="193"/>
  <c r="N69" i="193"/>
  <c r="K69" i="193"/>
  <c r="R42" i="193"/>
  <c r="T42" i="193"/>
  <c r="V42" i="193"/>
  <c r="N28" i="192"/>
  <c r="I28" i="192"/>
  <c r="O28" i="192"/>
  <c r="AN50" i="193"/>
  <c r="AO50" i="193"/>
  <c r="AL50" i="193"/>
  <c r="AJ59" i="193"/>
  <c r="AL59" i="193"/>
  <c r="AN59" i="193"/>
  <c r="AO59" i="193"/>
  <c r="V46" i="192"/>
  <c r="X46" i="192"/>
  <c r="Y46" i="192"/>
  <c r="S46" i="192"/>
  <c r="AF31" i="192"/>
  <c r="AH31" i="192"/>
  <c r="AC31" i="192"/>
  <c r="AI31" i="192"/>
  <c r="AA35" i="193"/>
  <c r="AF35" i="193"/>
  <c r="AE35" i="193"/>
  <c r="AC35" i="193"/>
  <c r="Y44" i="192"/>
  <c r="X44" i="192"/>
  <c r="V44" i="192"/>
  <c r="S44" i="192"/>
  <c r="O60" i="192"/>
  <c r="L60" i="192"/>
  <c r="N60" i="192"/>
  <c r="I60" i="192"/>
  <c r="AC25" i="192"/>
  <c r="AH25" i="192"/>
  <c r="AI25" i="192"/>
  <c r="AF25" i="192"/>
  <c r="AE33" i="193"/>
  <c r="AC33" i="193"/>
  <c r="AF33" i="193"/>
  <c r="AA33" i="193"/>
  <c r="W56" i="193"/>
  <c r="R56" i="193"/>
  <c r="V56" i="193"/>
  <c r="T56" i="193"/>
  <c r="AS36" i="192"/>
  <c r="AP36" i="192"/>
  <c r="AR36" i="192"/>
  <c r="AM36" i="192"/>
  <c r="I59" i="193"/>
  <c r="M59" i="193"/>
  <c r="K59" i="193"/>
  <c r="N59" i="193"/>
  <c r="AJ52" i="193"/>
  <c r="AO52" i="193"/>
  <c r="AN52" i="193"/>
  <c r="AL52" i="193"/>
  <c r="S22" i="192"/>
  <c r="X22" i="192"/>
  <c r="Y22" i="192"/>
  <c r="V22" i="192"/>
  <c r="AH24" i="192"/>
  <c r="AI24" i="192"/>
  <c r="AC24" i="192"/>
  <c r="AF24" i="192"/>
  <c r="AF45" i="193"/>
  <c r="AA45" i="193"/>
  <c r="AE45" i="193"/>
  <c r="M28" i="193"/>
  <c r="K28" i="193"/>
  <c r="I28" i="193"/>
  <c r="V72" i="193"/>
  <c r="T72" i="193"/>
  <c r="W72" i="193"/>
  <c r="V45" i="193"/>
  <c r="T45" i="193"/>
  <c r="W45" i="193"/>
  <c r="Y50" i="192"/>
  <c r="S50" i="192"/>
  <c r="X50" i="192"/>
  <c r="O29" i="192"/>
  <c r="N29" i="192"/>
  <c r="L29" i="192"/>
  <c r="AC69" i="192"/>
  <c r="AI69" i="192"/>
  <c r="AF69" i="192"/>
  <c r="AC67" i="192"/>
  <c r="AI67" i="192"/>
  <c r="AF67" i="192"/>
  <c r="AH67" i="192"/>
  <c r="AF69" i="193"/>
  <c r="AE69" i="193"/>
  <c r="AC69" i="193"/>
  <c r="AE68" i="193"/>
  <c r="AF68" i="193"/>
  <c r="AC68" i="193"/>
  <c r="N66" i="193"/>
  <c r="M66" i="193"/>
  <c r="K66" i="193"/>
  <c r="AO61" i="193"/>
  <c r="AN61" i="193"/>
  <c r="AL61" i="193"/>
  <c r="AJ61" i="193"/>
  <c r="R22" i="193"/>
  <c r="T22" i="193"/>
  <c r="W22" i="193"/>
  <c r="V22" i="193"/>
  <c r="AS40" i="192"/>
  <c r="AR40" i="192"/>
  <c r="AP40" i="192"/>
  <c r="I58" i="192"/>
  <c r="N58" i="192"/>
  <c r="O58" i="192"/>
  <c r="AS53" i="192"/>
  <c r="AR53" i="192"/>
  <c r="AP53" i="192"/>
  <c r="AJ30" i="193"/>
  <c r="AN30" i="193"/>
  <c r="AL30" i="193"/>
  <c r="AN45" i="193"/>
  <c r="AL45" i="193"/>
  <c r="Y58" i="192"/>
  <c r="S58" i="192"/>
  <c r="AC60" i="192"/>
  <c r="AI60" i="192"/>
  <c r="AF60" i="192"/>
  <c r="AH60" i="192"/>
  <c r="V50" i="193"/>
  <c r="W50" i="193"/>
  <c r="T50" i="193"/>
  <c r="R50" i="193"/>
  <c r="Y35" i="192"/>
  <c r="X35" i="192"/>
  <c r="S35" i="192"/>
  <c r="V35" i="192"/>
  <c r="O71" i="192"/>
  <c r="N71" i="192"/>
  <c r="I71" i="192"/>
  <c r="I46" i="193"/>
  <c r="M46" i="193"/>
  <c r="K46" i="193"/>
  <c r="AJ49" i="193"/>
  <c r="AN49" i="193"/>
  <c r="AL49" i="193"/>
  <c r="AO49" i="193"/>
  <c r="AJ70" i="193"/>
  <c r="AO70" i="193"/>
  <c r="AN70" i="193"/>
  <c r="AL70" i="193"/>
  <c r="O70" i="192"/>
  <c r="L70" i="192"/>
  <c r="N70" i="192"/>
  <c r="I70" i="192"/>
  <c r="AC51" i="192"/>
  <c r="AI51" i="192"/>
  <c r="AH51" i="192"/>
  <c r="AF51" i="192"/>
  <c r="AO46" i="193"/>
  <c r="AJ46" i="193"/>
  <c r="AN46" i="193"/>
  <c r="AL46" i="193"/>
  <c r="N56" i="192"/>
  <c r="O56" i="192"/>
  <c r="L56" i="192"/>
  <c r="I56" i="192"/>
  <c r="S31" i="192"/>
  <c r="X31" i="192"/>
  <c r="V31" i="192"/>
  <c r="Y31" i="192"/>
  <c r="AA54" i="193"/>
  <c r="AF54" i="193"/>
  <c r="AE54" i="193"/>
  <c r="AC54" i="193"/>
  <c r="L27" i="192"/>
  <c r="I27" i="192"/>
  <c r="N27" i="192"/>
  <c r="O27" i="192"/>
  <c r="AF35" i="192"/>
  <c r="AI35" i="192"/>
  <c r="AC35" i="192"/>
  <c r="AH35" i="192"/>
  <c r="H12" i="192" l="1"/>
  <c r="AK14" i="192"/>
  <c r="AK13" i="192"/>
  <c r="G15" i="193"/>
  <c r="Y13" i="193"/>
  <c r="P12" i="193"/>
  <c r="AA16" i="192"/>
  <c r="Q16" i="192"/>
  <c r="Y16" i="193"/>
  <c r="Y14" i="193"/>
  <c r="AA13" i="192"/>
  <c r="AA12" i="192"/>
  <c r="G16" i="192"/>
  <c r="Q14" i="192"/>
  <c r="Q15" i="192"/>
  <c r="AH13" i="193"/>
  <c r="AH14" i="193"/>
  <c r="G16" i="193"/>
  <c r="G12" i="193"/>
  <c r="Q12" i="192"/>
  <c r="AK12" i="192"/>
  <c r="AK15" i="192"/>
  <c r="P14" i="193"/>
  <c r="Y12" i="193"/>
  <c r="G15" i="192"/>
  <c r="AH12" i="193"/>
  <c r="P13" i="193"/>
  <c r="G13" i="193"/>
  <c r="G12" i="192"/>
  <c r="AK16" i="192"/>
  <c r="P16" i="193"/>
  <c r="AA15" i="192"/>
  <c r="AA14" i="192"/>
  <c r="Q13" i="192"/>
  <c r="P15" i="193"/>
  <c r="G14" i="193"/>
  <c r="Y15" i="193"/>
  <c r="G13" i="192"/>
  <c r="G14" i="192"/>
  <c r="AH15" i="193"/>
  <c r="K21" i="192"/>
  <c r="AH16" i="193"/>
  <c r="AO21" i="192"/>
  <c r="AE21" i="192"/>
  <c r="J57" i="193" l="1"/>
  <c r="M72" i="192"/>
  <c r="AG64" i="192"/>
  <c r="AQ63" i="192"/>
  <c r="AR15" i="192" s="1"/>
  <c r="M57" i="192"/>
  <c r="AA12" i="193"/>
  <c r="J64" i="193"/>
  <c r="J73" i="193"/>
  <c r="L73" i="193"/>
  <c r="M31" i="192"/>
  <c r="M12" i="192" s="1"/>
  <c r="M51" i="192"/>
  <c r="M61" i="192"/>
  <c r="M34" i="192"/>
  <c r="AQ24" i="192"/>
  <c r="L67" i="193"/>
  <c r="M45" i="192"/>
  <c r="L61" i="193"/>
  <c r="AG45" i="192"/>
  <c r="M64" i="192"/>
  <c r="AQ48" i="192"/>
  <c r="AR12" i="192" s="1"/>
  <c r="L53" i="193"/>
  <c r="M13" i="193" s="1"/>
  <c r="AQ70" i="192"/>
  <c r="L69" i="193"/>
  <c r="AG40" i="192"/>
  <c r="AG66" i="192"/>
  <c r="AJ13" i="193"/>
  <c r="L41" i="193"/>
  <c r="J41" i="193"/>
  <c r="M49" i="192"/>
  <c r="AQ51" i="192"/>
  <c r="AQ26" i="192"/>
  <c r="AQ16" i="192" s="1"/>
  <c r="S21" i="193"/>
  <c r="S72" i="193"/>
  <c r="S26" i="193"/>
  <c r="S16" i="193" s="1"/>
  <c r="S24" i="193"/>
  <c r="S50" i="193"/>
  <c r="S28" i="193"/>
  <c r="S14" i="193" s="1"/>
  <c r="S66" i="193"/>
  <c r="S61" i="193"/>
  <c r="S58" i="193"/>
  <c r="T14" i="193" s="1"/>
  <c r="S39" i="193"/>
  <c r="S53" i="193"/>
  <c r="T13" i="193" s="1"/>
  <c r="S37" i="193"/>
  <c r="S47" i="193"/>
  <c r="S57" i="193"/>
  <c r="S49" i="193"/>
  <c r="S52" i="193"/>
  <c r="S27" i="193"/>
  <c r="S15" i="193" s="1"/>
  <c r="S63" i="193"/>
  <c r="T15" i="193" s="1"/>
  <c r="S31" i="193"/>
  <c r="S12" i="193" s="1"/>
  <c r="S56" i="193"/>
  <c r="S64" i="193"/>
  <c r="S33" i="193"/>
  <c r="S32" i="193"/>
  <c r="S30" i="193"/>
  <c r="S23" i="193"/>
  <c r="S65" i="193"/>
  <c r="T16" i="193" s="1"/>
  <c r="S55" i="193"/>
  <c r="S41" i="193"/>
  <c r="S44" i="193"/>
  <c r="S71" i="193"/>
  <c r="S22" i="193"/>
  <c r="S59" i="193"/>
  <c r="S69" i="193"/>
  <c r="S25" i="193"/>
  <c r="S36" i="193"/>
  <c r="S42" i="193"/>
  <c r="S62" i="193"/>
  <c r="S54" i="193"/>
  <c r="S40" i="193"/>
  <c r="S68" i="193"/>
  <c r="S48" i="193"/>
  <c r="T12" i="193" s="1"/>
  <c r="S43" i="193"/>
  <c r="S29" i="193"/>
  <c r="S13" i="193" s="1"/>
  <c r="S73" i="193"/>
  <c r="S34" i="193"/>
  <c r="S45" i="193"/>
  <c r="S35" i="193"/>
  <c r="S67" i="193"/>
  <c r="S70" i="193"/>
  <c r="U21" i="193"/>
  <c r="U38" i="193"/>
  <c r="U31" i="193"/>
  <c r="U12" i="193" s="1"/>
  <c r="U29" i="193"/>
  <c r="U13" i="193" s="1"/>
  <c r="U64" i="193"/>
  <c r="U54" i="193"/>
  <c r="U45" i="193"/>
  <c r="U23" i="193"/>
  <c r="U42" i="193"/>
  <c r="U22" i="193"/>
  <c r="U41" i="193"/>
  <c r="U69" i="193"/>
  <c r="U62" i="193"/>
  <c r="U44" i="193"/>
  <c r="U34" i="193"/>
  <c r="U68" i="193"/>
  <c r="U56" i="193"/>
  <c r="U59" i="193"/>
  <c r="U33" i="193"/>
  <c r="U43" i="193"/>
  <c r="U30" i="193"/>
  <c r="U46" i="193"/>
  <c r="U72" i="193"/>
  <c r="U47" i="193"/>
  <c r="U26" i="193"/>
  <c r="U16" i="193" s="1"/>
  <c r="U49" i="193"/>
  <c r="U24" i="193"/>
  <c r="U52" i="193"/>
  <c r="U63" i="193"/>
  <c r="V15" i="193" s="1"/>
  <c r="U70" i="193"/>
  <c r="U67" i="193"/>
  <c r="U35" i="193"/>
  <c r="U60" i="193"/>
  <c r="U50" i="193"/>
  <c r="U28" i="193"/>
  <c r="U14" i="193" s="1"/>
  <c r="U48" i="193"/>
  <c r="V12" i="193" s="1"/>
  <c r="U25" i="193"/>
  <c r="U37" i="193"/>
  <c r="U51" i="193"/>
  <c r="U73" i="193"/>
  <c r="U57" i="193"/>
  <c r="U61" i="193"/>
  <c r="U39" i="193"/>
  <c r="U65" i="193"/>
  <c r="V16" i="193" s="1"/>
  <c r="U55" i="193"/>
  <c r="U27" i="193"/>
  <c r="U15" i="193" s="1"/>
  <c r="U66" i="193"/>
  <c r="U53" i="193"/>
  <c r="V13" i="193" s="1"/>
  <c r="U40" i="193"/>
  <c r="U58" i="193"/>
  <c r="V14" i="193" s="1"/>
  <c r="U71" i="193"/>
  <c r="U36" i="193"/>
  <c r="AQ71" i="192"/>
  <c r="W21" i="192"/>
  <c r="W38" i="192"/>
  <c r="W23" i="192"/>
  <c r="W33" i="192"/>
  <c r="W58" i="192"/>
  <c r="X14" i="192" s="1"/>
  <c r="W48" i="192"/>
  <c r="X12" i="192" s="1"/>
  <c r="W35" i="192"/>
  <c r="W36" i="192"/>
  <c r="W53" i="192"/>
  <c r="X13" i="192" s="1"/>
  <c r="W28" i="192"/>
  <c r="W14" i="192" s="1"/>
  <c r="W54" i="192"/>
  <c r="W26" i="192"/>
  <c r="W16" i="192" s="1"/>
  <c r="W61" i="192"/>
  <c r="W46" i="192"/>
  <c r="W30" i="192"/>
  <c r="W32" i="192"/>
  <c r="W66" i="192"/>
  <c r="W25" i="192"/>
  <c r="W49" i="192"/>
  <c r="W68" i="192"/>
  <c r="W60" i="192"/>
  <c r="W70" i="192"/>
  <c r="W27" i="192"/>
  <c r="W15" i="192" s="1"/>
  <c r="W64" i="192"/>
  <c r="W41" i="192"/>
  <c r="W56" i="192"/>
  <c r="W65" i="192"/>
  <c r="X16" i="192" s="1"/>
  <c r="W63" i="192"/>
  <c r="X15" i="192" s="1"/>
  <c r="W43" i="192"/>
  <c r="W42" i="192"/>
  <c r="W73" i="192"/>
  <c r="W44" i="192"/>
  <c r="W47" i="192"/>
  <c r="W22" i="192"/>
  <c r="W55" i="192"/>
  <c r="W57" i="192"/>
  <c r="W45" i="192"/>
  <c r="W51" i="192"/>
  <c r="W62" i="192"/>
  <c r="W34" i="192"/>
  <c r="W50" i="192"/>
  <c r="W40" i="192"/>
  <c r="W67" i="192"/>
  <c r="W31" i="192"/>
  <c r="W12" i="192" s="1"/>
  <c r="W59" i="192"/>
  <c r="W52" i="192"/>
  <c r="W71" i="192"/>
  <c r="W24" i="192"/>
  <c r="W29" i="192"/>
  <c r="W13" i="192" s="1"/>
  <c r="W39" i="192"/>
  <c r="AD38" i="193"/>
  <c r="AD21" i="193"/>
  <c r="AD69" i="193"/>
  <c r="AD27" i="193"/>
  <c r="AD15" i="193" s="1"/>
  <c r="AD54" i="193"/>
  <c r="AD24" i="193"/>
  <c r="AD33" i="193"/>
  <c r="AD43" i="193"/>
  <c r="AD53" i="193"/>
  <c r="AE13" i="193" s="1"/>
  <c r="AD41" i="193"/>
  <c r="AD72" i="193"/>
  <c r="AD57" i="193"/>
  <c r="AD70" i="193"/>
  <c r="AD59" i="193"/>
  <c r="AD42" i="193"/>
  <c r="AD55" i="193"/>
  <c r="AD26" i="193"/>
  <c r="AD16" i="193" s="1"/>
  <c r="AD46" i="193"/>
  <c r="AD37" i="193"/>
  <c r="AD65" i="193"/>
  <c r="AE16" i="193" s="1"/>
  <c r="AD52" i="193"/>
  <c r="AD25" i="193"/>
  <c r="AD63" i="193"/>
  <c r="AE15" i="193" s="1"/>
  <c r="AD73" i="193"/>
  <c r="AD62" i="193"/>
  <c r="AD45" i="193"/>
  <c r="AD64" i="193"/>
  <c r="AD36" i="193"/>
  <c r="AD66" i="193"/>
  <c r="AD47" i="193"/>
  <c r="AD39" i="193"/>
  <c r="AD28" i="193"/>
  <c r="AD14" i="193" s="1"/>
  <c r="AD31" i="193"/>
  <c r="AD12" i="193" s="1"/>
  <c r="AD40" i="193"/>
  <c r="AD71" i="193"/>
  <c r="AD49" i="193"/>
  <c r="AD50" i="193"/>
  <c r="AD30" i="193"/>
  <c r="AD61" i="193"/>
  <c r="AD51" i="193"/>
  <c r="AD22" i="193"/>
  <c r="AD35" i="193"/>
  <c r="AD32" i="193"/>
  <c r="AD29" i="193"/>
  <c r="AD13" i="193" s="1"/>
  <c r="AD60" i="193"/>
  <c r="AD67" i="193"/>
  <c r="AD68" i="193"/>
  <c r="AD23" i="193"/>
  <c r="AD56" i="193"/>
  <c r="AB21" i="193"/>
  <c r="AB35" i="193"/>
  <c r="AB53" i="193"/>
  <c r="AC13" i="193" s="1"/>
  <c r="AB32" i="193"/>
  <c r="AB51" i="193"/>
  <c r="AB56" i="193"/>
  <c r="AB71" i="193"/>
  <c r="AB22" i="193"/>
  <c r="AB36" i="193"/>
  <c r="AB34" i="193"/>
  <c r="AB49" i="193"/>
  <c r="AB50" i="193"/>
  <c r="AB44" i="193"/>
  <c r="AB31" i="193"/>
  <c r="AB12" i="193" s="1"/>
  <c r="AB30" i="193"/>
  <c r="AB61" i="193"/>
  <c r="AB60" i="193"/>
  <c r="AB29" i="193"/>
  <c r="AB13" i="193" s="1"/>
  <c r="AB37" i="193"/>
  <c r="AB52" i="193"/>
  <c r="AB25" i="193"/>
  <c r="AB63" i="193"/>
  <c r="AC15" i="193" s="1"/>
  <c r="AB43" i="193"/>
  <c r="AB57" i="193"/>
  <c r="AB70" i="193"/>
  <c r="AB42" i="193"/>
  <c r="AB26" i="193"/>
  <c r="AB16" i="193" s="1"/>
  <c r="AB46" i="193"/>
  <c r="AB23" i="193"/>
  <c r="AB67" i="193"/>
  <c r="AB72" i="193"/>
  <c r="AB47" i="193"/>
  <c r="AB39" i="193"/>
  <c r="AB28" i="193"/>
  <c r="AB14" i="193" s="1"/>
  <c r="AB40" i="193"/>
  <c r="AB68" i="193"/>
  <c r="AB66" i="193"/>
  <c r="AB33" i="193"/>
  <c r="AB58" i="193"/>
  <c r="AC14" i="193" s="1"/>
  <c r="AB59" i="193"/>
  <c r="AB69" i="193"/>
  <c r="AB27" i="193"/>
  <c r="AB15" i="193" s="1"/>
  <c r="AB73" i="193"/>
  <c r="AB24" i="193"/>
  <c r="AB54" i="193"/>
  <c r="AB65" i="193"/>
  <c r="AC16" i="193" s="1"/>
  <c r="AB48" i="193"/>
  <c r="AC12" i="193" s="1"/>
  <c r="AB45" i="193"/>
  <c r="AB64" i="193"/>
  <c r="AB62" i="193"/>
  <c r="AK21" i="193"/>
  <c r="AK53" i="193"/>
  <c r="AL13" i="193" s="1"/>
  <c r="AK58" i="193"/>
  <c r="AL14" i="193" s="1"/>
  <c r="AK69" i="193"/>
  <c r="AK41" i="193"/>
  <c r="AK47" i="193"/>
  <c r="AK37" i="193"/>
  <c r="AK61" i="193"/>
  <c r="AK68" i="193"/>
  <c r="AK43" i="193"/>
  <c r="AK72" i="193"/>
  <c r="AK36" i="193"/>
  <c r="AK55" i="193"/>
  <c r="AK54" i="193"/>
  <c r="AK62" i="193"/>
  <c r="AK39" i="193"/>
  <c r="AK57" i="193"/>
  <c r="AK48" i="193"/>
  <c r="AL12" i="193" s="1"/>
  <c r="AK44" i="193"/>
  <c r="AK24" i="193"/>
  <c r="AK65" i="193"/>
  <c r="AL16" i="193" s="1"/>
  <c r="AK29" i="193"/>
  <c r="AK13" i="193" s="1"/>
  <c r="AK52" i="193"/>
  <c r="AK34" i="193"/>
  <c r="AK49" i="193"/>
  <c r="AK22" i="193"/>
  <c r="AK42" i="193"/>
  <c r="AK26" i="193"/>
  <c r="AK16" i="193" s="1"/>
  <c r="AK46" i="193"/>
  <c r="AK60" i="193"/>
  <c r="AK40" i="193"/>
  <c r="AK25" i="193"/>
  <c r="AK51" i="193"/>
  <c r="AK35" i="193"/>
  <c r="AK31" i="193"/>
  <c r="AK12" i="193" s="1"/>
  <c r="AK50" i="193"/>
  <c r="AK23" i="193"/>
  <c r="AK59" i="193"/>
  <c r="AK66" i="193"/>
  <c r="AK67" i="193"/>
  <c r="AK70" i="193"/>
  <c r="AK27" i="193"/>
  <c r="AK15" i="193" s="1"/>
  <c r="AK71" i="193"/>
  <c r="AK28" i="193"/>
  <c r="AK14" i="193" s="1"/>
  <c r="AK32" i="193"/>
  <c r="AK64" i="193"/>
  <c r="AK56" i="193"/>
  <c r="AK33" i="193"/>
  <c r="AK45" i="193"/>
  <c r="AK30" i="193"/>
  <c r="AK63" i="193"/>
  <c r="AL15" i="193" s="1"/>
  <c r="AM21" i="193"/>
  <c r="AM38" i="193"/>
  <c r="AM52" i="193"/>
  <c r="AM66" i="193"/>
  <c r="AM35" i="193"/>
  <c r="AM31" i="193"/>
  <c r="AM12" i="193" s="1"/>
  <c r="AM42" i="193"/>
  <c r="AM50" i="193"/>
  <c r="AM26" i="193"/>
  <c r="AM16" i="193" s="1"/>
  <c r="AM23" i="193"/>
  <c r="AM56" i="193"/>
  <c r="AM65" i="193"/>
  <c r="AN16" i="193" s="1"/>
  <c r="AM53" i="193"/>
  <c r="AN13" i="193" s="1"/>
  <c r="AM46" i="193"/>
  <c r="AM64" i="193"/>
  <c r="AM67" i="193"/>
  <c r="AM30" i="193"/>
  <c r="AM70" i="193"/>
  <c r="AM34" i="193"/>
  <c r="AM49" i="193"/>
  <c r="AM69" i="193"/>
  <c r="AM41" i="193"/>
  <c r="AM48" i="193"/>
  <c r="AN12" i="193" s="1"/>
  <c r="AM47" i="193"/>
  <c r="AM37" i="193"/>
  <c r="AM63" i="193"/>
  <c r="AN15" i="193" s="1"/>
  <c r="AM68" i="193"/>
  <c r="AM72" i="193"/>
  <c r="AM55" i="193"/>
  <c r="AM33" i="193"/>
  <c r="AM62" i="193"/>
  <c r="AM28" i="193"/>
  <c r="AM14" i="193" s="1"/>
  <c r="AM59" i="193"/>
  <c r="AM43" i="193"/>
  <c r="AM36" i="193"/>
  <c r="AM51" i="193"/>
  <c r="AM39" i="193"/>
  <c r="AM57" i="193"/>
  <c r="AM54" i="193"/>
  <c r="AM58" i="193"/>
  <c r="AN14" i="193" s="1"/>
  <c r="AM45" i="193"/>
  <c r="AM32" i="193"/>
  <c r="AM22" i="193"/>
  <c r="AM61" i="193"/>
  <c r="AM40" i="193"/>
  <c r="AM71" i="193"/>
  <c r="AM44" i="193"/>
  <c r="AM27" i="193"/>
  <c r="AM15" i="193" s="1"/>
  <c r="AM24" i="193"/>
  <c r="AM60" i="193"/>
  <c r="AM25" i="193"/>
  <c r="M71" i="192"/>
  <c r="AG54" i="192"/>
  <c r="M66" i="192"/>
  <c r="AQ67" i="192"/>
  <c r="L29" i="193"/>
  <c r="L13" i="193" s="1"/>
  <c r="M23" i="192"/>
  <c r="AQ68" i="192"/>
  <c r="M32" i="192"/>
  <c r="AG23" i="192"/>
  <c r="AG27" i="192"/>
  <c r="AG15" i="192" s="1"/>
  <c r="J70" i="193"/>
  <c r="M40" i="192"/>
  <c r="AQ55" i="192"/>
  <c r="AQ62" i="192"/>
  <c r="L57" i="193"/>
  <c r="AQ22" i="192"/>
  <c r="M67" i="192"/>
  <c r="M43" i="192"/>
  <c r="J58" i="193"/>
  <c r="K14" i="193" s="1"/>
  <c r="I14" i="193"/>
  <c r="AG51" i="192"/>
  <c r="AQ49" i="192"/>
  <c r="M22" i="192"/>
  <c r="AG30" i="192"/>
  <c r="M29" i="192"/>
  <c r="M13" i="192" s="1"/>
  <c r="AQ50" i="192"/>
  <c r="AQ45" i="192"/>
  <c r="M48" i="192"/>
  <c r="N12" i="192" s="1"/>
  <c r="L52" i="193"/>
  <c r="AG37" i="192"/>
  <c r="AG43" i="192"/>
  <c r="M60" i="192"/>
  <c r="AA13" i="193"/>
  <c r="M62" i="192"/>
  <c r="M26" i="192"/>
  <c r="M16" i="192" s="1"/>
  <c r="AG31" i="192"/>
  <c r="AG12" i="192" s="1"/>
  <c r="L70" i="193"/>
  <c r="J51" i="193"/>
  <c r="AQ30" i="192"/>
  <c r="L30" i="193"/>
  <c r="AQ65" i="192"/>
  <c r="AR16" i="192" s="1"/>
  <c r="AG70" i="192"/>
  <c r="J49" i="193"/>
  <c r="L25" i="193"/>
  <c r="L40" i="193"/>
  <c r="AG34" i="192"/>
  <c r="L60" i="193"/>
  <c r="AQ52" i="192"/>
  <c r="M46" i="192"/>
  <c r="M73" i="192"/>
  <c r="AD54" i="192"/>
  <c r="AE54" i="192" s="1"/>
  <c r="J72" i="192"/>
  <c r="K72" i="192" s="1"/>
  <c r="J28" i="193"/>
  <c r="J14" i="193" s="1"/>
  <c r="L49" i="193"/>
  <c r="AQ66" i="192"/>
  <c r="L51" i="193"/>
  <c r="J25" i="193"/>
  <c r="AJ15" i="193"/>
  <c r="J62" i="193"/>
  <c r="M30" i="192"/>
  <c r="J44" i="193"/>
  <c r="J32" i="193"/>
  <c r="AG41" i="192"/>
  <c r="J30" i="193"/>
  <c r="L58" i="193"/>
  <c r="M14" i="193" s="1"/>
  <c r="M33" i="192"/>
  <c r="J60" i="193"/>
  <c r="J31" i="193"/>
  <c r="J12" i="193" s="1"/>
  <c r="L72" i="193"/>
  <c r="AG59" i="192"/>
  <c r="AG68" i="192"/>
  <c r="AN50" i="192"/>
  <c r="AO50" i="192" s="1"/>
  <c r="M59" i="192"/>
  <c r="AD64" i="192"/>
  <c r="AE64" i="192" s="1"/>
  <c r="J34" i="193"/>
  <c r="AQ28" i="192"/>
  <c r="AQ14" i="192" s="1"/>
  <c r="AQ34" i="192"/>
  <c r="M53" i="192"/>
  <c r="N13" i="192" s="1"/>
  <c r="AQ58" i="192"/>
  <c r="AR14" i="192" s="1"/>
  <c r="L55" i="193"/>
  <c r="J53" i="193"/>
  <c r="K13" i="193" s="1"/>
  <c r="I13" i="193"/>
  <c r="L71" i="193"/>
  <c r="J67" i="192"/>
  <c r="K67" i="192" s="1"/>
  <c r="T53" i="192"/>
  <c r="S13" i="192" s="1"/>
  <c r="R13" i="192"/>
  <c r="L56" i="193"/>
  <c r="AQ29" i="192"/>
  <c r="AQ13" i="192" s="1"/>
  <c r="M52" i="192"/>
  <c r="AG63" i="192"/>
  <c r="AH15" i="192" s="1"/>
  <c r="AI15" i="192" s="1"/>
  <c r="AG65" i="192"/>
  <c r="AH16" i="192" s="1"/>
  <c r="M35" i="192"/>
  <c r="AG69" i="192"/>
  <c r="J66" i="193"/>
  <c r="AQ35" i="192"/>
  <c r="L43" i="193"/>
  <c r="AN30" i="192"/>
  <c r="AO30" i="192" s="1"/>
  <c r="L28" i="193"/>
  <c r="L14" i="193" s="1"/>
  <c r="AJ14" i="193"/>
  <c r="M47" i="192"/>
  <c r="AQ39" i="192"/>
  <c r="AQ36" i="192"/>
  <c r="L64" i="193"/>
  <c r="AG50" i="192"/>
  <c r="R14" i="193"/>
  <c r="AG35" i="192"/>
  <c r="J71" i="192"/>
  <c r="K71" i="192" s="1"/>
  <c r="J23" i="193"/>
  <c r="L42" i="193"/>
  <c r="AG67" i="192"/>
  <c r="AG57" i="192"/>
  <c r="L24" i="193"/>
  <c r="L63" i="193"/>
  <c r="M15" i="193" s="1"/>
  <c r="AG25" i="192"/>
  <c r="AG62" i="192"/>
  <c r="J22" i="193"/>
  <c r="R16" i="193"/>
  <c r="J40" i="193"/>
  <c r="L34" i="193"/>
  <c r="J42" i="193"/>
  <c r="L31" i="193"/>
  <c r="L12" i="193" s="1"/>
  <c r="AQ44" i="192"/>
  <c r="J35" i="193"/>
  <c r="J48" i="193"/>
  <c r="K12" i="193" s="1"/>
  <c r="I12" i="193"/>
  <c r="J56" i="193"/>
  <c r="AD31" i="192"/>
  <c r="AE31" i="192" s="1"/>
  <c r="AD12" i="192" s="1"/>
  <c r="AN67" i="192"/>
  <c r="AO67" i="192" s="1"/>
  <c r="J22" i="192"/>
  <c r="K22" i="192" s="1"/>
  <c r="T27" i="192"/>
  <c r="J55" i="193"/>
  <c r="L36" i="193"/>
  <c r="AD27" i="192"/>
  <c r="AE27" i="192" s="1"/>
  <c r="AD15" i="192" s="1"/>
  <c r="J29" i="192"/>
  <c r="K29" i="192" s="1"/>
  <c r="J13" i="192" s="1"/>
  <c r="M55" i="192"/>
  <c r="T30" i="192"/>
  <c r="Q16" i="193"/>
  <c r="M41" i="192"/>
  <c r="AQ32" i="192"/>
  <c r="R13" i="193"/>
  <c r="AG46" i="192"/>
  <c r="M36" i="192"/>
  <c r="J72" i="193"/>
  <c r="AG42" i="192"/>
  <c r="L44" i="193"/>
  <c r="J24" i="193"/>
  <c r="J59" i="193"/>
  <c r="J69" i="193"/>
  <c r="L22" i="193"/>
  <c r="L68" i="193"/>
  <c r="L26" i="193"/>
  <c r="L16" i="193" s="1"/>
  <c r="J66" i="192"/>
  <c r="K66" i="192" s="1"/>
  <c r="AD41" i="192"/>
  <c r="AE41" i="192" s="1"/>
  <c r="T24" i="192"/>
  <c r="AL16" i="192"/>
  <c r="AN65" i="192"/>
  <c r="AM16" i="192" s="1"/>
  <c r="H14" i="193"/>
  <c r="AQ56" i="192"/>
  <c r="AN22" i="192"/>
  <c r="AO22" i="192" s="1"/>
  <c r="R16" i="192"/>
  <c r="T65" i="192"/>
  <c r="S16" i="192" s="1"/>
  <c r="J33" i="192"/>
  <c r="K33" i="192" s="1"/>
  <c r="AN34" i="192"/>
  <c r="AO34" i="192" s="1"/>
  <c r="L35" i="193"/>
  <c r="J36" i="193"/>
  <c r="AD58" i="192"/>
  <c r="AB14" i="192"/>
  <c r="AD65" i="192"/>
  <c r="AB16" i="192"/>
  <c r="T44" i="192"/>
  <c r="R12" i="193"/>
  <c r="AD23" i="192"/>
  <c r="AE23" i="192" s="1"/>
  <c r="AN45" i="192"/>
  <c r="AO45" i="192" s="1"/>
  <c r="J52" i="193"/>
  <c r="AG71" i="192"/>
  <c r="AN63" i="192"/>
  <c r="AL15" i="192"/>
  <c r="T36" i="192"/>
  <c r="I15" i="193"/>
  <c r="J63" i="193"/>
  <c r="K15" i="193" s="1"/>
  <c r="AG26" i="192"/>
  <c r="AG16" i="192" s="1"/>
  <c r="M25" i="192"/>
  <c r="J37" i="193"/>
  <c r="Z12" i="193"/>
  <c r="AQ43" i="192"/>
  <c r="M50" i="192"/>
  <c r="L45" i="193"/>
  <c r="AG72" i="192"/>
  <c r="AQ41" i="192"/>
  <c r="AG32" i="192"/>
  <c r="J40" i="192"/>
  <c r="K40" i="192" s="1"/>
  <c r="AN55" i="192"/>
  <c r="AO55" i="192" s="1"/>
  <c r="AD70" i="192"/>
  <c r="AE70" i="192" s="1"/>
  <c r="T67" i="192"/>
  <c r="AQ59" i="192"/>
  <c r="I16" i="193"/>
  <c r="J65" i="193"/>
  <c r="K16" i="193" s="1"/>
  <c r="AQ57" i="192"/>
  <c r="AQ60" i="192"/>
  <c r="AD30" i="192"/>
  <c r="AE30" i="192" s="1"/>
  <c r="AD37" i="192"/>
  <c r="AE37" i="192" s="1"/>
  <c r="J50" i="192"/>
  <c r="K50" i="192" s="1"/>
  <c r="J47" i="193"/>
  <c r="L65" i="193"/>
  <c r="M16" i="193" s="1"/>
  <c r="AQ33" i="192"/>
  <c r="AJ16" i="193"/>
  <c r="AG53" i="192"/>
  <c r="AH13" i="192" s="1"/>
  <c r="J45" i="193"/>
  <c r="AG55" i="192"/>
  <c r="L62" i="193"/>
  <c r="AQ27" i="192"/>
  <c r="AQ15" i="192" s="1"/>
  <c r="L66" i="193"/>
  <c r="J43" i="193"/>
  <c r="AG61" i="192"/>
  <c r="AQ69" i="192"/>
  <c r="AQ54" i="192"/>
  <c r="Q14" i="193"/>
  <c r="J43" i="192"/>
  <c r="K43" i="192" s="1"/>
  <c r="AQ53" i="192"/>
  <c r="AR13" i="192" s="1"/>
  <c r="L39" i="193"/>
  <c r="AG47" i="192"/>
  <c r="L48" i="193"/>
  <c r="M12" i="193" s="1"/>
  <c r="M39" i="192"/>
  <c r="AN49" i="192"/>
  <c r="AO49" i="192" s="1"/>
  <c r="T58" i="192"/>
  <c r="S14" i="192" s="1"/>
  <c r="R14" i="192"/>
  <c r="AD43" i="192"/>
  <c r="AE43" i="192" s="1"/>
  <c r="T49" i="192"/>
  <c r="AQ23" i="192"/>
  <c r="M70" i="192"/>
  <c r="AQ31" i="192"/>
  <c r="AQ12" i="192" s="1"/>
  <c r="AG33" i="192"/>
  <c r="Q13" i="193"/>
  <c r="AI15" i="193"/>
  <c r="AI14" i="193"/>
  <c r="AD46" i="192"/>
  <c r="AE46" i="192" s="1"/>
  <c r="T39" i="192"/>
  <c r="AD51" i="192"/>
  <c r="AE51" i="192" s="1"/>
  <c r="J48" i="192"/>
  <c r="AN62" i="192"/>
  <c r="AO62" i="192" s="1"/>
  <c r="AG52" i="192"/>
  <c r="AQ72" i="192"/>
  <c r="M65" i="192"/>
  <c r="N16" i="192" s="1"/>
  <c r="O16" i="192" s="1"/>
  <c r="AQ64" i="192"/>
  <c r="J29" i="193"/>
  <c r="J13" i="193" s="1"/>
  <c r="AN66" i="192"/>
  <c r="AO66" i="192" s="1"/>
  <c r="AD63" i="192"/>
  <c r="AC15" i="192" s="1"/>
  <c r="AB15" i="192"/>
  <c r="J46" i="193"/>
  <c r="H15" i="193"/>
  <c r="J35" i="192"/>
  <c r="K35" i="192" s="1"/>
  <c r="L47" i="193"/>
  <c r="AJ12" i="193"/>
  <c r="R15" i="193"/>
  <c r="T57" i="192"/>
  <c r="AD34" i="192"/>
  <c r="AE34" i="192" s="1"/>
  <c r="AN28" i="192"/>
  <c r="AO28" i="192" s="1"/>
  <c r="AN14" i="192" s="1"/>
  <c r="AA14" i="193"/>
  <c r="T72" i="192"/>
  <c r="H16" i="193"/>
  <c r="AD49" i="192"/>
  <c r="AE49" i="192" s="1"/>
  <c r="AN54" i="192"/>
  <c r="AO54" i="192" s="1"/>
  <c r="M28" i="192"/>
  <c r="M14" i="192" s="1"/>
  <c r="M44" i="192"/>
  <c r="J41" i="192"/>
  <c r="K41" i="192" s="1"/>
  <c r="AN39" i="192"/>
  <c r="AO39" i="192" s="1"/>
  <c r="T45" i="192"/>
  <c r="AN44" i="192"/>
  <c r="AO44" i="192" s="1"/>
  <c r="M56" i="192"/>
  <c r="AG48" i="192"/>
  <c r="AH12" i="192" s="1"/>
  <c r="L59" i="193"/>
  <c r="AD32" i="192"/>
  <c r="AE32" i="192" s="1"/>
  <c r="T34" i="192"/>
  <c r="J31" i="192"/>
  <c r="K31" i="192" s="1"/>
  <c r="J12" i="192" s="1"/>
  <c r="AG36" i="192"/>
  <c r="J61" i="193"/>
  <c r="Q12" i="193"/>
  <c r="AD48" i="192"/>
  <c r="AB12" i="192"/>
  <c r="T40" i="192"/>
  <c r="AI12" i="193"/>
  <c r="J73" i="192"/>
  <c r="K73" i="192" s="1"/>
  <c r="AD61" i="192"/>
  <c r="AE61" i="192" s="1"/>
  <c r="J51" i="192"/>
  <c r="K51" i="192" s="1"/>
  <c r="T35" i="192"/>
  <c r="AG29" i="192"/>
  <c r="AG13" i="192" s="1"/>
  <c r="AN72" i="192"/>
  <c r="AO72" i="192" s="1"/>
  <c r="J61" i="192"/>
  <c r="K61" i="192" s="1"/>
  <c r="T50" i="192"/>
  <c r="AN57" i="192"/>
  <c r="AO57" i="192" s="1"/>
  <c r="J33" i="193"/>
  <c r="AQ25" i="192"/>
  <c r="M42" i="192"/>
  <c r="AG24" i="192"/>
  <c r="T68" i="192"/>
  <c r="AD67" i="192"/>
  <c r="AE67" i="192" s="1"/>
  <c r="AG44" i="192"/>
  <c r="AQ40" i="192"/>
  <c r="AL13" i="192"/>
  <c r="AN53" i="192"/>
  <c r="J34" i="192"/>
  <c r="K34" i="192" s="1"/>
  <c r="AN24" i="192"/>
  <c r="AO24" i="192" s="1"/>
  <c r="AD24" i="192"/>
  <c r="AE24" i="192" s="1"/>
  <c r="T29" i="192"/>
  <c r="M68" i="192"/>
  <c r="J50" i="193"/>
  <c r="J28" i="192"/>
  <c r="K28" i="192" s="1"/>
  <c r="J14" i="192" s="1"/>
  <c r="T47" i="192"/>
  <c r="M37" i="192"/>
  <c r="AQ61" i="192"/>
  <c r="AN41" i="192"/>
  <c r="AO41" i="192" s="1"/>
  <c r="T43" i="192"/>
  <c r="AN46" i="192"/>
  <c r="AO46" i="192" s="1"/>
  <c r="L32" i="193"/>
  <c r="AD71" i="192"/>
  <c r="AE71" i="192" s="1"/>
  <c r="AD44" i="192"/>
  <c r="AE44" i="192" s="1"/>
  <c r="T26" i="192"/>
  <c r="AN56" i="192"/>
  <c r="AO56" i="192" s="1"/>
  <c r="AD45" i="192"/>
  <c r="AE45" i="192" s="1"/>
  <c r="J71" i="193"/>
  <c r="AN25" i="192"/>
  <c r="AO25" i="192" s="1"/>
  <c r="AD42" i="192"/>
  <c r="AE42" i="192" s="1"/>
  <c r="AN69" i="192"/>
  <c r="AO69" i="192" s="1"/>
  <c r="J44" i="192"/>
  <c r="K44" i="192" s="1"/>
  <c r="AG60" i="192"/>
  <c r="AG39" i="192"/>
  <c r="AD72" i="192"/>
  <c r="AE72" i="192" s="1"/>
  <c r="T63" i="192"/>
  <c r="S15" i="192" s="1"/>
  <c r="R15" i="192"/>
  <c r="J64" i="192"/>
  <c r="K64" i="192" s="1"/>
  <c r="AG22" i="192"/>
  <c r="L54" i="193"/>
  <c r="AN36" i="192"/>
  <c r="AO36" i="192" s="1"/>
  <c r="T54" i="192"/>
  <c r="AL12" i="192"/>
  <c r="AN48" i="192"/>
  <c r="H13" i="193"/>
  <c r="T52" i="192"/>
  <c r="L27" i="193"/>
  <c r="L15" i="193" s="1"/>
  <c r="L33" i="193"/>
  <c r="T73" i="192"/>
  <c r="H14" i="192"/>
  <c r="J58" i="192"/>
  <c r="I14" i="192" s="1"/>
  <c r="AN70" i="192"/>
  <c r="AO70" i="192" s="1"/>
  <c r="J42" i="192"/>
  <c r="K42" i="192" s="1"/>
  <c r="AD40" i="192"/>
  <c r="AE40" i="192" s="1"/>
  <c r="T46" i="192"/>
  <c r="J39" i="193"/>
  <c r="M69" i="192"/>
  <c r="AN32" i="192"/>
  <c r="AO32" i="192" s="1"/>
  <c r="Z14" i="193"/>
  <c r="T60" i="192"/>
  <c r="AN33" i="192"/>
  <c r="AO33" i="192" s="1"/>
  <c r="AD33" i="192"/>
  <c r="AE33" i="192" s="1"/>
  <c r="M63" i="192"/>
  <c r="N15" i="192" s="1"/>
  <c r="AG73" i="192"/>
  <c r="L37" i="193"/>
  <c r="AB13" i="192"/>
  <c r="AD53" i="192"/>
  <c r="T48" i="192"/>
  <c r="S12" i="192" s="1"/>
  <c r="R12" i="192"/>
  <c r="J26" i="193"/>
  <c r="J16" i="193" s="1"/>
  <c r="AD69" i="192"/>
  <c r="AE69" i="192" s="1"/>
  <c r="T28" i="192"/>
  <c r="L50" i="193"/>
  <c r="J62" i="192"/>
  <c r="K62" i="192" s="1"/>
  <c r="AN64" i="192"/>
  <c r="AO64" i="192" s="1"/>
  <c r="J68" i="193"/>
  <c r="AD59" i="192"/>
  <c r="AE59" i="192" s="1"/>
  <c r="L23" i="193"/>
  <c r="AA15" i="193"/>
  <c r="AD62" i="192"/>
  <c r="AE62" i="192" s="1"/>
  <c r="AN35" i="192"/>
  <c r="AO35" i="192" s="1"/>
  <c r="M24" i="192"/>
  <c r="AD66" i="192"/>
  <c r="AE66" i="192" s="1"/>
  <c r="AI13" i="193"/>
  <c r="AN23" i="192"/>
  <c r="AO23" i="192" s="1"/>
  <c r="J49" i="192"/>
  <c r="K49" i="192" s="1"/>
  <c r="AQ42" i="192"/>
  <c r="AN42" i="192"/>
  <c r="AO42" i="192" s="1"/>
  <c r="J25" i="192"/>
  <c r="K25" i="192" s="1"/>
  <c r="J53" i="192"/>
  <c r="I13" i="192" s="1"/>
  <c r="H13" i="192"/>
  <c r="AA16" i="193"/>
  <c r="AG28" i="192"/>
  <c r="AG14" i="192" s="1"/>
  <c r="AN58" i="192"/>
  <c r="AL14" i="192"/>
  <c r="H16" i="192"/>
  <c r="J65" i="192"/>
  <c r="J47" i="192"/>
  <c r="K47" i="192" s="1"/>
  <c r="M54" i="192"/>
  <c r="AD68" i="192"/>
  <c r="AE68" i="192" s="1"/>
  <c r="T32" i="192"/>
  <c r="T22" i="192"/>
  <c r="AN60" i="192"/>
  <c r="AO60" i="192" s="1"/>
  <c r="J27" i="193"/>
  <c r="J15" i="193" s="1"/>
  <c r="J56" i="192"/>
  <c r="K56" i="192" s="1"/>
  <c r="J69" i="192"/>
  <c r="K69" i="192" s="1"/>
  <c r="AN40" i="192"/>
  <c r="AO40" i="192" s="1"/>
  <c r="AD52" i="192"/>
  <c r="AE52" i="192" s="1"/>
  <c r="T33" i="192"/>
  <c r="AN51" i="192"/>
  <c r="AO51" i="192" s="1"/>
  <c r="T37" i="192"/>
  <c r="AN26" i="192"/>
  <c r="AO26" i="192" s="1"/>
  <c r="AN16" i="192" s="1"/>
  <c r="AD35" i="192"/>
  <c r="AE35" i="192" s="1"/>
  <c r="T64" i="192"/>
  <c r="J23" i="192"/>
  <c r="K23" i="192" s="1"/>
  <c r="AN43" i="192"/>
  <c r="AO43" i="192" s="1"/>
  <c r="J52" i="192"/>
  <c r="K52" i="192" s="1"/>
  <c r="T31" i="192"/>
  <c r="AN59" i="192"/>
  <c r="AO59" i="192" s="1"/>
  <c r="T55" i="192"/>
  <c r="J60" i="192"/>
  <c r="K60" i="192" s="1"/>
  <c r="T41" i="192"/>
  <c r="L46" i="193"/>
  <c r="AD47" i="192"/>
  <c r="AE47" i="192" s="1"/>
  <c r="T59" i="192"/>
  <c r="AD73" i="192"/>
  <c r="AE73" i="192" s="1"/>
  <c r="AQ47" i="192"/>
  <c r="J30" i="192"/>
  <c r="K30" i="192" s="1"/>
  <c r="AN71" i="192"/>
  <c r="AO71" i="192" s="1"/>
  <c r="H12" i="193"/>
  <c r="J63" i="192"/>
  <c r="H15" i="192"/>
  <c r="AG56" i="192"/>
  <c r="AD57" i="192"/>
  <c r="AE57" i="192" s="1"/>
  <c r="AN52" i="192"/>
  <c r="AO52" i="192" s="1"/>
  <c r="AD39" i="192"/>
  <c r="AE39" i="192" s="1"/>
  <c r="T61" i="192"/>
  <c r="J37" i="192"/>
  <c r="K37" i="192" s="1"/>
  <c r="AN29" i="192"/>
  <c r="AO29" i="192" s="1"/>
  <c r="AN13" i="192" s="1"/>
  <c r="J68" i="192"/>
  <c r="K68" i="192" s="1"/>
  <c r="AD60" i="192"/>
  <c r="AE60" i="192" s="1"/>
  <c r="T62" i="192"/>
  <c r="J26" i="192"/>
  <c r="K26" i="192" s="1"/>
  <c r="J16" i="192" s="1"/>
  <c r="T38" i="192"/>
  <c r="M27" i="192"/>
  <c r="M15" i="192" s="1"/>
  <c r="J36" i="192"/>
  <c r="K36" i="192" s="1"/>
  <c r="J27" i="192"/>
  <c r="K27" i="192" s="1"/>
  <c r="J15" i="192" s="1"/>
  <c r="AN27" i="192"/>
  <c r="AO27" i="192" s="1"/>
  <c r="AN15" i="192" s="1"/>
  <c r="T23" i="192"/>
  <c r="T66" i="192"/>
  <c r="AN31" i="192"/>
  <c r="AO31" i="192" s="1"/>
  <c r="AN12" i="192" s="1"/>
  <c r="J32" i="192"/>
  <c r="K32" i="192" s="1"/>
  <c r="AD22" i="192"/>
  <c r="AE22" i="192" s="1"/>
  <c r="J54" i="192"/>
  <c r="K54" i="192" s="1"/>
  <c r="Z15" i="193"/>
  <c r="T71" i="192"/>
  <c r="AD26" i="192"/>
  <c r="AE26" i="192" s="1"/>
  <c r="AD16" i="192" s="1"/>
  <c r="T69" i="192"/>
  <c r="Q15" i="193"/>
  <c r="J59" i="192"/>
  <c r="K59" i="192" s="1"/>
  <c r="AN61" i="192"/>
  <c r="AO61" i="192" s="1"/>
  <c r="AD36" i="192"/>
  <c r="AE36" i="192" s="1"/>
  <c r="T25" i="192"/>
  <c r="AI16" i="193"/>
  <c r="Z13" i="193"/>
  <c r="T42" i="192"/>
  <c r="AD55" i="192"/>
  <c r="AE55" i="192" s="1"/>
  <c r="AQ37" i="192"/>
  <c r="AN68" i="192"/>
  <c r="AO68" i="192" s="1"/>
  <c r="J55" i="192"/>
  <c r="K55" i="192" s="1"/>
  <c r="AD25" i="192"/>
  <c r="AE25" i="192" s="1"/>
  <c r="T51" i="192"/>
  <c r="J46" i="192"/>
  <c r="K46" i="192" s="1"/>
  <c r="T70" i="192"/>
  <c r="AD56" i="192"/>
  <c r="AE56" i="192" s="1"/>
  <c r="AN37" i="192"/>
  <c r="AO37" i="192" s="1"/>
  <c r="Z16" i="193"/>
  <c r="AD28" i="192"/>
  <c r="AE28" i="192" s="1"/>
  <c r="AD14" i="192" s="1"/>
  <c r="J70" i="192"/>
  <c r="K70" i="192" s="1"/>
  <c r="J54" i="193"/>
  <c r="T56" i="192"/>
  <c r="AD29" i="192"/>
  <c r="AE29" i="192" s="1"/>
  <c r="AD13" i="192" s="1"/>
  <c r="J24" i="192"/>
  <c r="K24" i="192" s="1"/>
  <c r="AN47" i="192"/>
  <c r="AO47" i="192" s="1"/>
  <c r="U53" i="192"/>
  <c r="U13" i="192" s="1"/>
  <c r="N13" i="193"/>
  <c r="W16" i="193" l="1"/>
  <c r="AO15" i="193"/>
  <c r="AO14" i="193"/>
  <c r="U48" i="192"/>
  <c r="U12" i="192" s="1"/>
  <c r="U51" i="192"/>
  <c r="AI13" i="192"/>
  <c r="K53" i="192"/>
  <c r="K13" i="192" s="1"/>
  <c r="L13" i="192" s="1"/>
  <c r="U25" i="192"/>
  <c r="AS14" i="192"/>
  <c r="AI12" i="192"/>
  <c r="AO65" i="192"/>
  <c r="AO16" i="192" s="1"/>
  <c r="AP16" i="192" s="1"/>
  <c r="AS15" i="192"/>
  <c r="AI16" i="192"/>
  <c r="AF15" i="193"/>
  <c r="W12" i="193"/>
  <c r="AS16" i="192"/>
  <c r="N12" i="193"/>
  <c r="AO16" i="193"/>
  <c r="Y15" i="192"/>
  <c r="W13" i="193"/>
  <c r="AS12" i="192"/>
  <c r="AS13" i="192"/>
  <c r="AF16" i="193"/>
  <c r="AF13" i="193"/>
  <c r="U37" i="192"/>
  <c r="O15" i="192"/>
  <c r="U46" i="192"/>
  <c r="U70" i="192"/>
  <c r="U42" i="192"/>
  <c r="U69" i="192"/>
  <c r="U66" i="192"/>
  <c r="U62" i="192"/>
  <c r="U56" i="192"/>
  <c r="U23" i="192"/>
  <c r="U59" i="192"/>
  <c r="U64" i="192"/>
  <c r="K58" i="192"/>
  <c r="K14" i="192" s="1"/>
  <c r="L14" i="192" s="1"/>
  <c r="U61" i="192"/>
  <c r="U73" i="192"/>
  <c r="W15" i="193"/>
  <c r="U55" i="192"/>
  <c r="U47" i="192"/>
  <c r="U45" i="192"/>
  <c r="U31" i="192"/>
  <c r="T12" i="192" s="1"/>
  <c r="V12" i="192" s="1"/>
  <c r="U22" i="192"/>
  <c r="W14" i="193"/>
  <c r="U33" i="192"/>
  <c r="U32" i="192"/>
  <c r="AE63" i="192"/>
  <c r="AE15" i="192" s="1"/>
  <c r="AF15" i="192" s="1"/>
  <c r="U60" i="192"/>
  <c r="N15" i="193"/>
  <c r="N14" i="193"/>
  <c r="O13" i="192"/>
  <c r="W69" i="192"/>
  <c r="AB55" i="193"/>
  <c r="S60" i="193"/>
  <c r="AD44" i="193"/>
  <c r="U32" i="193"/>
  <c r="AG49" i="192"/>
  <c r="AM29" i="193"/>
  <c r="AM13" i="193" s="1"/>
  <c r="AO13" i="193" s="1"/>
  <c r="S46" i="193"/>
  <c r="AD48" i="193"/>
  <c r="AE12" i="193" s="1"/>
  <c r="AF12" i="193" s="1"/>
  <c r="S51" i="193"/>
  <c r="AB41" i="193"/>
  <c r="J45" i="192"/>
  <c r="K45" i="192" s="1"/>
  <c r="AD58" i="193"/>
  <c r="AE14" i="193" s="1"/>
  <c r="AF14" i="193" s="1"/>
  <c r="J67" i="193"/>
  <c r="J57" i="192"/>
  <c r="K57" i="192" s="1"/>
  <c r="AG58" i="192"/>
  <c r="AH14" i="192" s="1"/>
  <c r="AI14" i="192" s="1"/>
  <c r="AD50" i="192"/>
  <c r="AE50" i="192" s="1"/>
  <c r="W37" i="192"/>
  <c r="W72" i="192"/>
  <c r="AQ46" i="192"/>
  <c r="M58" i="192"/>
  <c r="N14" i="192" s="1"/>
  <c r="O14" i="192" s="1"/>
  <c r="J39" i="192"/>
  <c r="K39" i="192" s="1"/>
  <c r="AD34" i="193"/>
  <c r="AM12" i="192"/>
  <c r="AO48" i="192"/>
  <c r="AO12" i="192" s="1"/>
  <c r="AP12" i="192" s="1"/>
  <c r="U39" i="192"/>
  <c r="AC14" i="192"/>
  <c r="AE58" i="192"/>
  <c r="AE14" i="192" s="1"/>
  <c r="AF14" i="192" s="1"/>
  <c r="N16" i="193"/>
  <c r="U27" i="192"/>
  <c r="T15" i="192" s="1"/>
  <c r="Y12" i="192"/>
  <c r="AM13" i="192"/>
  <c r="AO53" i="192"/>
  <c r="AO13" i="192" s="1"/>
  <c r="AP13" i="192" s="1"/>
  <c r="AC13" i="192"/>
  <c r="AE53" i="192"/>
  <c r="AE13" i="192" s="1"/>
  <c r="AF13" i="192" s="1"/>
  <c r="U43" i="192"/>
  <c r="U50" i="192"/>
  <c r="U30" i="192"/>
  <c r="Y16" i="192"/>
  <c r="AM14" i="192"/>
  <c r="AO58" i="192"/>
  <c r="AO14" i="192" s="1"/>
  <c r="AP14" i="192" s="1"/>
  <c r="U54" i="192"/>
  <c r="U34" i="192"/>
  <c r="U57" i="192"/>
  <c r="U49" i="192"/>
  <c r="U36" i="192"/>
  <c r="U44" i="192"/>
  <c r="Y13" i="192"/>
  <c r="U28" i="192"/>
  <c r="T14" i="192" s="1"/>
  <c r="U26" i="192"/>
  <c r="T16" i="192" s="1"/>
  <c r="U40" i="192"/>
  <c r="U29" i="192"/>
  <c r="T13" i="192" s="1"/>
  <c r="V13" i="192" s="1"/>
  <c r="U72" i="192"/>
  <c r="I12" i="192"/>
  <c r="K48" i="192"/>
  <c r="K12" i="192" s="1"/>
  <c r="L12" i="192" s="1"/>
  <c r="AM15" i="192"/>
  <c r="AO63" i="192"/>
  <c r="AO15" i="192" s="1"/>
  <c r="AP15" i="192" s="1"/>
  <c r="U24" i="192"/>
  <c r="Y14" i="192"/>
  <c r="I15" i="192"/>
  <c r="K63" i="192"/>
  <c r="K15" i="192" s="1"/>
  <c r="L15" i="192" s="1"/>
  <c r="I16" i="192"/>
  <c r="K65" i="192"/>
  <c r="K16" i="192" s="1"/>
  <c r="L16" i="192" s="1"/>
  <c r="U68" i="192"/>
  <c r="U35" i="192"/>
  <c r="AC12" i="192"/>
  <c r="AE48" i="192"/>
  <c r="AE12" i="192" s="1"/>
  <c r="AF12" i="192" s="1"/>
  <c r="AC16" i="192"/>
  <c r="AE65" i="192"/>
  <c r="AE16" i="192" s="1"/>
  <c r="AF16" i="192" s="1"/>
  <c r="O12" i="192"/>
  <c r="U58" i="192"/>
  <c r="U14" i="192" s="1"/>
  <c r="U65" i="192"/>
  <c r="U16" i="192" s="1"/>
  <c r="U71" i="192"/>
  <c r="U63" i="192"/>
  <c r="U15" i="192" s="1"/>
  <c r="U21" i="192"/>
  <c r="U41" i="192"/>
  <c r="U52" i="192"/>
  <c r="U67" i="192"/>
  <c r="AO12" i="193"/>
  <c r="V14" i="192" l="1"/>
  <c r="V15" i="192"/>
  <c r="V16" i="192"/>
</calcChain>
</file>

<file path=xl/sharedStrings.xml><?xml version="1.0" encoding="utf-8"?>
<sst xmlns="http://schemas.openxmlformats.org/spreadsheetml/2006/main" count="570" uniqueCount="208">
  <si>
    <t>μm</t>
    <phoneticPr fontId="18"/>
  </si>
  <si>
    <t>mm</t>
    <phoneticPr fontId="18"/>
  </si>
  <si>
    <t>Air1</t>
    <phoneticPr fontId="18"/>
  </si>
  <si>
    <t>℃</t>
    <phoneticPr fontId="18"/>
  </si>
  <si>
    <t>Al</t>
    <phoneticPr fontId="18"/>
  </si>
  <si>
    <t>気温</t>
    <rPh sb="0" eb="2">
      <t>キオン</t>
    </rPh>
    <phoneticPr fontId="18"/>
  </si>
  <si>
    <t>℃</t>
    <phoneticPr fontId="18"/>
  </si>
  <si>
    <t>気圧</t>
    <rPh sb="0" eb="1">
      <t>キ</t>
    </rPh>
    <rPh sb="1" eb="2">
      <t>アツ</t>
    </rPh>
    <phoneticPr fontId="18"/>
  </si>
  <si>
    <t>hPa</t>
    <phoneticPr fontId="18"/>
  </si>
  <si>
    <t>GrTtl1:</t>
    <phoneticPr fontId="18"/>
  </si>
  <si>
    <t>ThkStd</t>
  </si>
  <si>
    <t>GrTtl2:</t>
    <phoneticPr fontId="18"/>
  </si>
  <si>
    <t>GrTtl3:</t>
    <phoneticPr fontId="18"/>
  </si>
  <si>
    <t>LETt</t>
    <phoneticPr fontId="18"/>
  </si>
  <si>
    <t>LETe</t>
    <phoneticPr fontId="18"/>
  </si>
  <si>
    <t>LETn</t>
    <phoneticPr fontId="18"/>
  </si>
  <si>
    <t>Beam</t>
    <phoneticPr fontId="18"/>
  </si>
  <si>
    <t>40Ar</t>
    <phoneticPr fontId="18"/>
  </si>
  <si>
    <t>maxLET</t>
    <phoneticPr fontId="18"/>
  </si>
  <si>
    <t>WS2</t>
    <phoneticPr fontId="18"/>
  </si>
  <si>
    <t>Air</t>
    <phoneticPr fontId="18"/>
  </si>
  <si>
    <t>Rng</t>
    <phoneticPr fontId="18"/>
  </si>
  <si>
    <t>mm</t>
    <phoneticPr fontId="18"/>
  </si>
  <si>
    <t>ratio</t>
    <phoneticPr fontId="18"/>
  </si>
  <si>
    <t>Ebm</t>
    <phoneticPr fontId="18"/>
  </si>
  <si>
    <t>AMeV</t>
    <phoneticPr fontId="18"/>
  </si>
  <si>
    <t>Rng</t>
    <phoneticPr fontId="18"/>
  </si>
  <si>
    <t>LETt</t>
    <phoneticPr fontId="18"/>
  </si>
  <si>
    <t>μm</t>
    <phoneticPr fontId="18"/>
  </si>
  <si>
    <t>mm</t>
    <phoneticPr fontId="18"/>
  </si>
  <si>
    <t>84Kr</t>
    <phoneticPr fontId="18"/>
  </si>
  <si>
    <t>132Xe</t>
    <phoneticPr fontId="18"/>
  </si>
  <si>
    <t>197Au</t>
    <phoneticPr fontId="18"/>
  </si>
  <si>
    <t>±BPk</t>
    <phoneticPr fontId="18"/>
  </si>
  <si>
    <t>Matr1</t>
    <phoneticPr fontId="18"/>
  </si>
  <si>
    <t>Matr2</t>
    <phoneticPr fontId="18"/>
  </si>
  <si>
    <t>WS1</t>
    <phoneticPr fontId="18"/>
  </si>
  <si>
    <t>Rng in</t>
    <phoneticPr fontId="18"/>
  </si>
  <si>
    <t>90%</t>
    <phoneticPr fontId="18"/>
  </si>
  <si>
    <t>LET幅</t>
    <rPh sb="3" eb="4">
      <t>ハバ</t>
    </rPh>
    <phoneticPr fontId="18"/>
  </si>
  <si>
    <t>at</t>
    <phoneticPr fontId="18"/>
  </si>
  <si>
    <t>80%</t>
    <phoneticPr fontId="18"/>
  </si>
  <si>
    <t>70%</t>
    <phoneticPr fontId="18"/>
  </si>
  <si>
    <t>+BPk</t>
    <phoneticPr fontId="18"/>
  </si>
  <si>
    <t>-BPk</t>
    <phoneticPr fontId="18"/>
  </si>
  <si>
    <t>wid</t>
    <phoneticPr fontId="18"/>
  </si>
  <si>
    <t>mm</t>
    <phoneticPr fontId="18"/>
  </si>
  <si>
    <t>60%</t>
    <phoneticPr fontId="18"/>
  </si>
  <si>
    <t>50%</t>
    <phoneticPr fontId="18"/>
  </si>
  <si>
    <t>AxLbl1:</t>
    <phoneticPr fontId="18"/>
  </si>
  <si>
    <t>AxLbl2:</t>
    <phoneticPr fontId="18"/>
  </si>
  <si>
    <t>AxLbl3:</t>
    <phoneticPr fontId="18"/>
  </si>
  <si>
    <t>max LETt norm. wid</t>
    <phoneticPr fontId="18"/>
  </si>
  <si>
    <r>
      <t xml:space="preserve">Bragg Peak 幅 </t>
    </r>
    <r>
      <rPr>
        <b/>
        <sz val="16"/>
        <color rgb="FFFF0000"/>
        <rFont val="ＭＳ Ｐゴシック"/>
        <family val="3"/>
        <charset val="128"/>
        <scheme val="minor"/>
      </rPr>
      <t>in Air</t>
    </r>
    <rPh sb="11" eb="12">
      <t>ハバ</t>
    </rPh>
    <phoneticPr fontId="18"/>
  </si>
  <si>
    <r>
      <t xml:space="preserve">Bragg Peak 幅 </t>
    </r>
    <r>
      <rPr>
        <b/>
        <sz val="16"/>
        <color rgb="FFFF0000"/>
        <rFont val="ＭＳ Ｐゴシック"/>
        <family val="3"/>
        <charset val="128"/>
        <scheme val="minor"/>
      </rPr>
      <t>in Si</t>
    </r>
    <rPh sb="11" eb="12">
      <t>ハバ</t>
    </rPh>
    <phoneticPr fontId="18"/>
  </si>
  <si>
    <t>Si</t>
    <phoneticPr fontId="18"/>
  </si>
  <si>
    <t>Al</t>
    <phoneticPr fontId="18"/>
  </si>
  <si>
    <t>空気層</t>
    <rPh sb="0" eb="2">
      <t>クウキ</t>
    </rPh>
    <rPh sb="2" eb="3">
      <t>ソウ</t>
    </rPh>
    <phoneticPr fontId="18"/>
  </si>
  <si>
    <t>in Si</t>
    <phoneticPr fontId="18"/>
  </si>
  <si>
    <t>Range</t>
    <phoneticPr fontId="18"/>
  </si>
  <si>
    <t>LETcoef 計算</t>
    <rPh sb="8" eb="10">
      <t>ケイサン</t>
    </rPh>
    <phoneticPr fontId="18"/>
  </si>
  <si>
    <t>《本シートの参照パラメータ》</t>
    <rPh sb="1" eb="2">
      <t>ホン</t>
    </rPh>
    <rPh sb="6" eb="8">
      <t>サンショウ</t>
    </rPh>
    <phoneticPr fontId="18"/>
  </si>
  <si>
    <t>照射環境の補正係数</t>
    <rPh sb="0" eb="2">
      <t>ショウシャ</t>
    </rPh>
    <rPh sb="2" eb="4">
      <t>カンキョウ</t>
    </rPh>
    <rPh sb="5" eb="7">
      <t>ホセイ</t>
    </rPh>
    <rPh sb="7" eb="9">
      <t>ケイスウ</t>
    </rPh>
    <phoneticPr fontId="49"/>
  </si>
  <si>
    <t>WS_head</t>
    <phoneticPr fontId="18"/>
  </si>
  <si>
    <t>maxLET{Si}</t>
    <phoneticPr fontId="18"/>
  </si>
  <si>
    <t>BeamA</t>
    <phoneticPr fontId="18"/>
  </si>
  <si>
    <t>AirTot</t>
    <phoneticPr fontId="18"/>
  </si>
  <si>
    <t>[mm]</t>
    <phoneticPr fontId="18"/>
  </si>
  <si>
    <r>
      <rPr>
        <b/>
        <sz val="11"/>
        <color theme="1"/>
        <rFont val="ＭＳ Ｐゴシック"/>
        <family val="3"/>
        <charset val="128"/>
        <scheme val="minor"/>
      </rPr>
      <t>&lt;基準&gt;</t>
    </r>
    <r>
      <rPr>
        <sz val="11"/>
        <color theme="1"/>
        <rFont val="ＭＳ Ｐゴシック"/>
        <family val="3"/>
        <charset val="128"/>
        <scheme val="minor"/>
      </rPr>
      <t>とする照射環境</t>
    </r>
    <rPh sb="1" eb="3">
      <t>キジュン</t>
    </rPh>
    <rPh sb="7" eb="9">
      <t>ショウシャ</t>
    </rPh>
    <rPh sb="9" eb="11">
      <t>カンキョウ</t>
    </rPh>
    <phoneticPr fontId="18"/>
  </si>
  <si>
    <t>BeamA</t>
    <phoneticPr fontId="18"/>
  </si>
  <si>
    <t>Ebm</t>
    <phoneticPr fontId="18"/>
  </si>
  <si>
    <t>MeV/u</t>
    <phoneticPr fontId="18"/>
  </si>
  <si>
    <t>STP補正</t>
    <rPh sb="3" eb="5">
      <t>ホセイ</t>
    </rPh>
    <phoneticPr fontId="18"/>
  </si>
  <si>
    <t>=SRIMfit.xlsm!srThkStd()</t>
  </si>
  <si>
    <t>室温</t>
    <rPh sb="0" eb="2">
      <t>シツオン</t>
    </rPh>
    <phoneticPr fontId="51"/>
  </si>
  <si>
    <t>[℃]</t>
    <phoneticPr fontId="51"/>
  </si>
  <si>
    <t>気圧</t>
    <rPh sb="0" eb="2">
      <t>キアツ</t>
    </rPh>
    <phoneticPr fontId="51"/>
  </si>
  <si>
    <r>
      <t>[Pa]</t>
    </r>
    <r>
      <rPr>
        <sz val="9"/>
        <color theme="1"/>
        <rFont val="ＭＳ Ｐゴシック"/>
        <family val="3"/>
        <charset val="128"/>
        <scheme val="minor"/>
      </rPr>
      <t xml:space="preserve"> 1atm=101325</t>
    </r>
    <phoneticPr fontId="51"/>
  </si>
  <si>
    <t>Mat</t>
    <phoneticPr fontId="18"/>
  </si>
  <si>
    <t>SRIM Fit W.S.name</t>
    <phoneticPr fontId="18"/>
  </si>
  <si>
    <t>Th{Si} =</t>
    <phoneticPr fontId="18"/>
  </si>
  <si>
    <t>[μm] において、</t>
    <phoneticPr fontId="18"/>
  </si>
  <si>
    <t>空気距離(1)</t>
    <rPh sb="0" eb="2">
      <t>クウキ</t>
    </rPh>
    <rPh sb="2" eb="4">
      <t>キョリ</t>
    </rPh>
    <phoneticPr fontId="18"/>
  </si>
  <si>
    <t>[mm] Kapton膜～EDeg出口までの距離</t>
    <rPh sb="11" eb="12">
      <t>マク</t>
    </rPh>
    <rPh sb="17" eb="19">
      <t>デグチ</t>
    </rPh>
    <rPh sb="22" eb="24">
      <t>キョリ</t>
    </rPh>
    <phoneticPr fontId="18"/>
  </si>
  <si>
    <t>Si</t>
    <phoneticPr fontId="18"/>
  </si>
  <si>
    <t>LET{Si}(Th) =</t>
    <phoneticPr fontId="18"/>
  </si>
  <si>
    <t>[MeV/(mg/cm2)]</t>
    <phoneticPr fontId="18"/>
  </si>
  <si>
    <t>空気距離(2)</t>
    <rPh sb="0" eb="2">
      <t>クウキ</t>
    </rPh>
    <rPh sb="2" eb="4">
      <t>キョリ</t>
    </rPh>
    <phoneticPr fontId="18"/>
  </si>
  <si>
    <t>[mm] EDeg出口～照射位置</t>
    <rPh sb="9" eb="11">
      <t>デグチ</t>
    </rPh>
    <rPh sb="12" eb="14">
      <t>ショウシャ</t>
    </rPh>
    <rPh sb="14" eb="16">
      <t>イチ</t>
    </rPh>
    <phoneticPr fontId="18"/>
  </si>
  <si>
    <t>Ebm(LET(Th))</t>
    <phoneticPr fontId="18"/>
  </si>
  <si>
    <t>[A.MeV] = srLETt2Eh()</t>
    <phoneticPr fontId="18"/>
  </si>
  <si>
    <t>&lt;- この辺、Eold() に変更できるか？STP補正に注意！</t>
    <rPh sb="5" eb="6">
      <t>ヘン</t>
    </rPh>
    <rPh sb="15" eb="17">
      <t>ヘンコウ</t>
    </rPh>
    <rPh sb="25" eb="27">
      <t>ホセイ</t>
    </rPh>
    <rPh sb="28" eb="30">
      <t>チュウイ</t>
    </rPh>
    <phoneticPr fontId="18"/>
  </si>
  <si>
    <t>空気距離合計</t>
    <rPh sb="0" eb="2">
      <t>クウキ</t>
    </rPh>
    <rPh sb="2" eb="4">
      <t>キョリ</t>
    </rPh>
    <rPh sb="4" eb="6">
      <t>ゴウケイ</t>
    </rPh>
    <phoneticPr fontId="18"/>
  </si>
  <si>
    <t>Air</t>
    <phoneticPr fontId="18"/>
  </si>
  <si>
    <t>[MeV]</t>
    <phoneticPr fontId="18"/>
  </si>
  <si>
    <t>R1{Si}(Ebm)</t>
    <phoneticPr fontId="18"/>
  </si>
  <si>
    <t>[μm] 残りRange</t>
    <rPh sb="5" eb="6">
      <t>ノコ</t>
    </rPh>
    <phoneticPr fontId="18"/>
  </si>
  <si>
    <t>R1{Al}(Ebm)</t>
    <phoneticPr fontId="18"/>
  </si>
  <si>
    <t>Si試料表面からの深さ</t>
    <rPh sb="2" eb="4">
      <t>シリョウ</t>
    </rPh>
    <rPh sb="4" eb="6">
      <t>ヒョウメン</t>
    </rPh>
    <rPh sb="9" eb="10">
      <t>フカ</t>
    </rPh>
    <phoneticPr fontId="18"/>
  </si>
  <si>
    <t>Si表面で・・・</t>
    <rPh sb="2" eb="4">
      <t>ヒョウメン</t>
    </rPh>
    <phoneticPr fontId="18"/>
  </si>
  <si>
    <t>深さ</t>
    <rPh sb="0" eb="1">
      <t>フカ</t>
    </rPh>
    <phoneticPr fontId="18"/>
  </si>
  <si>
    <t>μm</t>
    <phoneticPr fontId="18"/>
  </si>
  <si>
    <t>mm</t>
    <phoneticPr fontId="18"/>
  </si>
  <si>
    <t>R2{Si}(Ebm)</t>
    <phoneticPr fontId="18"/>
  </si>
  <si>
    <t>[μm] = R1{Si}(Ebm)+Th{Si}</t>
    <phoneticPr fontId="18"/>
  </si>
  <si>
    <t>角度</t>
    <rPh sb="0" eb="2">
      <t>カクド</t>
    </rPh>
    <phoneticPr fontId="18"/>
  </si>
  <si>
    <t>度</t>
    <rPh sb="0" eb="1">
      <t>ド</t>
    </rPh>
    <phoneticPr fontId="18"/>
  </si>
  <si>
    <t>E0{表}</t>
    <rPh sb="3" eb="4">
      <t>ヒョウ</t>
    </rPh>
    <phoneticPr fontId="18"/>
  </si>
  <si>
    <t>[A.MeV] 表面で = srRng2E(R2)</t>
    <rPh sb="8" eb="10">
      <t>ヒョウメン</t>
    </rPh>
    <phoneticPr fontId="18"/>
  </si>
  <si>
    <t>換算深さ</t>
    <rPh sb="0" eb="2">
      <t>カンザン</t>
    </rPh>
    <rPh sb="2" eb="3">
      <t>フカ</t>
    </rPh>
    <phoneticPr fontId="18"/>
  </si>
  <si>
    <t>μm において、</t>
    <phoneticPr fontId="18"/>
  </si>
  <si>
    <t>Air2</t>
    <phoneticPr fontId="18"/>
  </si>
  <si>
    <t>[MeV]</t>
    <phoneticPr fontId="18"/>
  </si>
  <si>
    <t>LET{Si}(表) =</t>
    <rPh sb="8" eb="9">
      <t>ヒョウ</t>
    </rPh>
    <phoneticPr fontId="18"/>
  </si>
  <si>
    <t>[MeV/(mg/cm2)] 表面で</t>
    <rPh sb="15" eb="17">
      <t>ヒョウメン</t>
    </rPh>
    <phoneticPr fontId="18"/>
  </si>
  <si>
    <r>
      <rPr>
        <b/>
        <sz val="11"/>
        <color theme="1"/>
        <rFont val="ＭＳ Ｐゴシック"/>
        <family val="3"/>
        <charset val="128"/>
        <scheme val="minor"/>
      </rPr>
      <t>LET</t>
    </r>
    <r>
      <rPr>
        <sz val="11"/>
        <color theme="1"/>
        <rFont val="ＭＳ Ｐゴシック"/>
        <family val="3"/>
        <charset val="128"/>
        <scheme val="minor"/>
      </rPr>
      <t xml:space="preserve"> in Si =</t>
    </r>
    <phoneticPr fontId="18"/>
  </si>
  <si>
    <t xml:space="preserve"> 設定の時</t>
    <rPh sb="1" eb="3">
      <t>セッテイ</t>
    </rPh>
    <rPh sb="4" eb="5">
      <t>トキ</t>
    </rPh>
    <phoneticPr fontId="18"/>
  </si>
  <si>
    <t>3/14平均値</t>
    <rPh sb="4" eb="6">
      <t>ヘイキン</t>
    </rPh>
    <rPh sb="6" eb="7">
      <t>チ</t>
    </rPh>
    <phoneticPr fontId="18"/>
  </si>
  <si>
    <t>空気層入口で・・・</t>
    <rPh sb="0" eb="2">
      <t>クウキ</t>
    </rPh>
    <rPh sb="2" eb="3">
      <t>ソウ</t>
    </rPh>
    <rPh sb="3" eb="5">
      <t>イリグチ</t>
    </rPh>
    <phoneticPr fontId="18"/>
  </si>
  <si>
    <t>R1｛Air}(Ebm)</t>
    <phoneticPr fontId="18"/>
  </si>
  <si>
    <t>[mm] = srE2Rng()/STP補</t>
    <rPh sb="20" eb="21">
      <t>ホ</t>
    </rPh>
    <phoneticPr fontId="18"/>
  </si>
  <si>
    <t>GrpTtl1</t>
    <phoneticPr fontId="18"/>
  </si>
  <si>
    <t>hPa</t>
    <phoneticPr fontId="18"/>
  </si>
  <si>
    <t>R2{Air}(E0)</t>
    <phoneticPr fontId="18"/>
  </si>
  <si>
    <t>[mm] = R1{Air}(Ebm)+AirTot</t>
    <phoneticPr fontId="18"/>
  </si>
  <si>
    <t>照射試料表面において・・・</t>
    <rPh sb="0" eb="2">
      <t>ショウシャ</t>
    </rPh>
    <rPh sb="2" eb="4">
      <t>シリョウ</t>
    </rPh>
    <rPh sb="4" eb="6">
      <t>ヒョウメン</t>
    </rPh>
    <phoneticPr fontId="18"/>
  </si>
  <si>
    <t>μm深さで</t>
    <rPh sb="2" eb="3">
      <t>フカ</t>
    </rPh>
    <phoneticPr fontId="18"/>
  </si>
  <si>
    <t>E0{Air}</t>
    <phoneticPr fontId="18"/>
  </si>
  <si>
    <t>[A.MeV] = srRng2E(R2)</t>
    <phoneticPr fontId="18"/>
  </si>
  <si>
    <t>Ebeam</t>
    <phoneticPr fontId="18"/>
  </si>
  <si>
    <t>LET</t>
    <phoneticPr fontId="18"/>
  </si>
  <si>
    <t>Range</t>
    <phoneticPr fontId="18"/>
  </si>
  <si>
    <t>Ebeam</t>
    <phoneticPr fontId="18"/>
  </si>
  <si>
    <t>LET</t>
    <phoneticPr fontId="18"/>
  </si>
  <si>
    <t>直線Fit誤差　Fit - Val</t>
    <rPh sb="0" eb="2">
      <t>チョクセン</t>
    </rPh>
    <rPh sb="5" eb="7">
      <t>ゴサ</t>
    </rPh>
    <phoneticPr fontId="18"/>
  </si>
  <si>
    <t>AMeV, MeV</t>
    <phoneticPr fontId="18"/>
  </si>
  <si>
    <r>
      <t xml:space="preserve">in Si </t>
    </r>
    <r>
      <rPr>
        <sz val="11"/>
        <color theme="1"/>
        <rFont val="ＭＳ Ｐゴシック"/>
        <family val="3"/>
        <charset val="128"/>
        <scheme val="minor"/>
      </rPr>
      <t>μm</t>
    </r>
    <phoneticPr fontId="18"/>
  </si>
  <si>
    <r>
      <t xml:space="preserve">in Al </t>
    </r>
    <r>
      <rPr>
        <sz val="11"/>
        <color theme="1"/>
        <rFont val="ＭＳ Ｐゴシック"/>
        <family val="3"/>
        <charset val="128"/>
        <scheme val="minor"/>
      </rPr>
      <t>μm</t>
    </r>
    <phoneticPr fontId="18"/>
  </si>
  <si>
    <t>AMeV, MeV</t>
    <phoneticPr fontId="18"/>
  </si>
  <si>
    <r>
      <rPr>
        <b/>
        <sz val="9"/>
        <color theme="1"/>
        <rFont val="ＭＳ Ｐゴシック"/>
        <family val="3"/>
        <charset val="128"/>
        <scheme val="minor"/>
      </rPr>
      <t>&lt;気温変化&gt;補正係数</t>
    </r>
    <r>
      <rPr>
        <sz val="9"/>
        <color theme="1"/>
        <rFont val="ＭＳ Ｐゴシック"/>
        <family val="3"/>
        <charset val="128"/>
        <scheme val="minor"/>
      </rPr>
      <t xml:space="preserve"> : E1bm= srEnewGas(E0{Air},Lair,Pair,&lt;Tair&gt;)</t>
    </r>
    <rPh sb="1" eb="3">
      <t>キオン</t>
    </rPh>
    <rPh sb="3" eb="5">
      <t>ヘンカ</t>
    </rPh>
    <rPh sb="6" eb="8">
      <t>ホセイ</t>
    </rPh>
    <rPh sb="8" eb="10">
      <t>ケイスウ</t>
    </rPh>
    <phoneticPr fontId="18"/>
  </si>
  <si>
    <t>μm</t>
    <phoneticPr fontId="18"/>
  </si>
  <si>
    <t>&lt;Tair&gt;</t>
    <phoneticPr fontId="18"/>
  </si>
  <si>
    <t>E1bm{表面で}</t>
    <rPh sb="5" eb="7">
      <t>ヒョウメン</t>
    </rPh>
    <phoneticPr fontId="18"/>
  </si>
  <si>
    <t>LET{表Si}</t>
    <rPh sb="4" eb="5">
      <t>ヒョウ</t>
    </rPh>
    <phoneticPr fontId="18"/>
  </si>
  <si>
    <t>Rng{表Si}</t>
    <rPh sb="4" eb="5">
      <t>ヒョウ</t>
    </rPh>
    <phoneticPr fontId="18"/>
  </si>
  <si>
    <t>Rng{表Al}</t>
    <rPh sb="4" eb="5">
      <t>ヒョウ</t>
    </rPh>
    <phoneticPr fontId="18"/>
  </si>
  <si>
    <t>E1bm{深さThで}</t>
    <rPh sb="5" eb="6">
      <t>フカ</t>
    </rPh>
    <phoneticPr fontId="18"/>
  </si>
  <si>
    <t>LET{深Si}</t>
    <rPh sb="4" eb="5">
      <t>フカ</t>
    </rPh>
    <phoneticPr fontId="18"/>
  </si>
  <si>
    <t>LET{Si}</t>
    <phoneticPr fontId="18"/>
  </si>
  <si>
    <t>Rng{Si}</t>
    <phoneticPr fontId="18"/>
  </si>
  <si>
    <t>Rng{Al}</t>
    <phoneticPr fontId="18"/>
  </si>
  <si>
    <t>　各種補正係数</t>
    <rPh sb="1" eb="3">
      <t>カクシュ</t>
    </rPh>
    <rPh sb="3" eb="5">
      <t>ホセイ</t>
    </rPh>
    <rPh sb="5" eb="7">
      <t>ケイスウ</t>
    </rPh>
    <phoneticPr fontId="18"/>
  </si>
  <si>
    <t>[℃]</t>
    <phoneticPr fontId="18"/>
  </si>
  <si>
    <t>[A.MeV]</t>
    <phoneticPr fontId="18"/>
  </si>
  <si>
    <t>[MeV]</t>
    <phoneticPr fontId="18"/>
  </si>
  <si>
    <t>[μm]</t>
    <phoneticPr fontId="18"/>
  </si>
  <si>
    <r>
      <t>&lt;気温&gt;</t>
    </r>
    <r>
      <rPr>
        <sz val="9"/>
        <color theme="1"/>
        <rFont val="ＭＳ Ｐゴシック"/>
        <family val="3"/>
        <charset val="128"/>
        <scheme val="minor"/>
      </rPr>
      <t>変化に対して</t>
    </r>
    <rPh sb="1" eb="3">
      <t>キオン</t>
    </rPh>
    <rPh sb="4" eb="6">
      <t>ヘンカ</t>
    </rPh>
    <rPh sb="7" eb="8">
      <t>タイ</t>
    </rPh>
    <phoneticPr fontId="18"/>
  </si>
  <si>
    <t>MeV/℃</t>
    <phoneticPr fontId="18"/>
  </si>
  <si>
    <t>LET/℃</t>
    <phoneticPr fontId="18"/>
  </si>
  <si>
    <t>μm/℃</t>
    <phoneticPr fontId="18"/>
  </si>
  <si>
    <t>換算深さでのLET指定</t>
    <rPh sb="0" eb="2">
      <t>カンザン</t>
    </rPh>
    <rPh sb="2" eb="3">
      <t>フカ</t>
    </rPh>
    <rPh sb="9" eb="11">
      <t>シテイ</t>
    </rPh>
    <phoneticPr fontId="18"/>
  </si>
  <si>
    <t>Step</t>
    <phoneticPr fontId="18"/>
  </si>
  <si>
    <t>LET{Si}</t>
    <phoneticPr fontId="18"/>
  </si>
  <si>
    <r>
      <t>&lt;気圧&gt;</t>
    </r>
    <r>
      <rPr>
        <sz val="9"/>
        <color theme="1"/>
        <rFont val="ＭＳ Ｐゴシック"/>
        <family val="3"/>
        <charset val="128"/>
        <scheme val="minor"/>
      </rPr>
      <t>変化に対して</t>
    </r>
    <rPh sb="1" eb="3">
      <t>キアツ</t>
    </rPh>
    <rPh sb="4" eb="6">
      <t>ヘンカ</t>
    </rPh>
    <rPh sb="7" eb="8">
      <t>タイ</t>
    </rPh>
    <phoneticPr fontId="18"/>
  </si>
  <si>
    <t>MeV/10hPa</t>
    <phoneticPr fontId="18"/>
  </si>
  <si>
    <t>LET/10hPa</t>
    <phoneticPr fontId="18"/>
  </si>
  <si>
    <t>μm/10hPa</t>
    <phoneticPr fontId="18"/>
  </si>
  <si>
    <t>- -</t>
  </si>
  <si>
    <r>
      <t>&lt;照射位置&gt;</t>
    </r>
    <r>
      <rPr>
        <sz val="9"/>
        <color theme="1"/>
        <rFont val="ＭＳ Ｐゴシック"/>
        <family val="3"/>
        <charset val="128"/>
        <scheme val="minor"/>
      </rPr>
      <t>誤差で</t>
    </r>
    <rPh sb="1" eb="3">
      <t>ショウシャ</t>
    </rPh>
    <rPh sb="3" eb="5">
      <t>イチ</t>
    </rPh>
    <rPh sb="6" eb="8">
      <t>ゴサ</t>
    </rPh>
    <phoneticPr fontId="18"/>
  </si>
  <si>
    <t>MeV/mm</t>
    <phoneticPr fontId="18"/>
  </si>
  <si>
    <t>LET/mm</t>
    <phoneticPr fontId="18"/>
  </si>
  <si>
    <t>μm/mm</t>
    <phoneticPr fontId="18"/>
  </si>
  <si>
    <t>MeV/℃</t>
    <phoneticPr fontId="18"/>
  </si>
  <si>
    <t>LET/℃</t>
    <phoneticPr fontId="18"/>
  </si>
  <si>
    <t>μm/℃</t>
    <phoneticPr fontId="18"/>
  </si>
  <si>
    <r>
      <t>&lt;E測定&gt;</t>
    </r>
    <r>
      <rPr>
        <sz val="9"/>
        <color theme="1"/>
        <rFont val="ＭＳ Ｐゴシック"/>
        <family val="3"/>
        <charset val="128"/>
        <scheme val="minor"/>
      </rPr>
      <t>誤差で</t>
    </r>
    <rPh sb="2" eb="4">
      <t>ソクテイ</t>
    </rPh>
    <rPh sb="5" eb="7">
      <t>ゴサ</t>
    </rPh>
    <phoneticPr fontId="18"/>
  </si>
  <si>
    <t>LET/MeV</t>
    <phoneticPr fontId="18"/>
  </si>
  <si>
    <t>μm/MeV</t>
    <phoneticPr fontId="18"/>
  </si>
  <si>
    <t>slope</t>
    <phoneticPr fontId="18"/>
  </si>
  <si>
    <t>R^2</t>
    <phoneticPr fontId="18"/>
  </si>
  <si>
    <r>
      <rPr>
        <b/>
        <sz val="9"/>
        <color theme="1"/>
        <rFont val="ＭＳ Ｐゴシック"/>
        <family val="3"/>
        <charset val="128"/>
        <scheme val="minor"/>
      </rPr>
      <t>&lt;気圧変化&gt;補正係数</t>
    </r>
    <r>
      <rPr>
        <sz val="9"/>
        <color theme="1"/>
        <rFont val="ＭＳ Ｐゴシック"/>
        <family val="3"/>
        <charset val="128"/>
        <scheme val="minor"/>
      </rPr>
      <t xml:space="preserve"> : E2bm= srEnewGas(E0{Air},Lair,&lt;Pair&gt;,Tair)</t>
    </r>
    <rPh sb="1" eb="3">
      <t>キアツ</t>
    </rPh>
    <rPh sb="3" eb="5">
      <t>ヘンカ</t>
    </rPh>
    <rPh sb="6" eb="8">
      <t>ホセイ</t>
    </rPh>
    <rPh sb="8" eb="10">
      <t>ケイスウ</t>
    </rPh>
    <phoneticPr fontId="18"/>
  </si>
  <si>
    <t>&lt;Pair&gt;</t>
    <phoneticPr fontId="18"/>
  </si>
  <si>
    <t>E2bm</t>
    <phoneticPr fontId="18"/>
  </si>
  <si>
    <t>Rng{Si}</t>
    <phoneticPr fontId="18"/>
  </si>
  <si>
    <t>Rng{Al}</t>
    <phoneticPr fontId="18"/>
  </si>
  <si>
    <t>Rng{Al}</t>
    <phoneticPr fontId="18"/>
  </si>
  <si>
    <t>[Pa]</t>
    <phoneticPr fontId="18"/>
  </si>
  <si>
    <t>[A.MeV]</t>
    <phoneticPr fontId="18"/>
  </si>
  <si>
    <t>[μm]</t>
    <phoneticPr fontId="18"/>
  </si>
  <si>
    <t>[MeV]</t>
    <phoneticPr fontId="18"/>
  </si>
  <si>
    <t>Step</t>
    <phoneticPr fontId="18"/>
  </si>
  <si>
    <t>MeV/Pa</t>
    <phoneticPr fontId="18"/>
  </si>
  <si>
    <t>LET/Pa</t>
    <phoneticPr fontId="18"/>
  </si>
  <si>
    <t>μm/Pa</t>
    <phoneticPr fontId="18"/>
  </si>
  <si>
    <t>MeV/Pa</t>
    <phoneticPr fontId="18"/>
  </si>
  <si>
    <t>LET/Pa</t>
    <phoneticPr fontId="18"/>
  </si>
  <si>
    <r>
      <rPr>
        <b/>
        <sz val="9"/>
        <color theme="1"/>
        <rFont val="ＭＳ Ｐゴシック"/>
        <family val="3"/>
        <charset val="128"/>
        <scheme val="minor"/>
      </rPr>
      <t>&lt;距離誤差&gt;補正係数</t>
    </r>
    <r>
      <rPr>
        <sz val="9"/>
        <color theme="1"/>
        <rFont val="ＭＳ Ｐゴシック"/>
        <family val="3"/>
        <charset val="128"/>
        <scheme val="minor"/>
      </rPr>
      <t xml:space="preserve"> : E3bm= srEnewGas(E0{Air},&lt;Lair&gt;,Pair,Tair)</t>
    </r>
    <rPh sb="1" eb="3">
      <t>キョリ</t>
    </rPh>
    <rPh sb="3" eb="5">
      <t>ゴサ</t>
    </rPh>
    <rPh sb="6" eb="8">
      <t>ホセイ</t>
    </rPh>
    <rPh sb="8" eb="10">
      <t>ケイスウ</t>
    </rPh>
    <phoneticPr fontId="18"/>
  </si>
  <si>
    <t>&lt;Lair&gt;</t>
    <phoneticPr fontId="18"/>
  </si>
  <si>
    <t>E3bm</t>
    <phoneticPr fontId="18"/>
  </si>
  <si>
    <t>Rng{Si}</t>
    <phoneticPr fontId="18"/>
  </si>
  <si>
    <t>[mm]</t>
    <phoneticPr fontId="18"/>
  </si>
  <si>
    <r>
      <rPr>
        <b/>
        <sz val="9"/>
        <color theme="1"/>
        <rFont val="ＭＳ Ｐゴシック"/>
        <family val="3"/>
        <charset val="128"/>
        <scheme val="minor"/>
      </rPr>
      <t>&lt;Ebm測定誤差&gt;補正係数</t>
    </r>
    <r>
      <rPr>
        <sz val="9"/>
        <color theme="1"/>
        <rFont val="ＭＳ Ｐゴシック"/>
        <family val="3"/>
        <charset val="128"/>
        <scheme val="minor"/>
      </rPr>
      <t xml:space="preserve"> : E4bm= srEnewGas(&lt;E0{Air}&gt;,Lair,Pair,Tair)</t>
    </r>
    <rPh sb="4" eb="6">
      <t>ソクテイ</t>
    </rPh>
    <rPh sb="6" eb="8">
      <t>ゴサ</t>
    </rPh>
    <rPh sb="9" eb="11">
      <t>ホセイ</t>
    </rPh>
    <rPh sb="11" eb="13">
      <t>ケイスウ</t>
    </rPh>
    <phoneticPr fontId="18"/>
  </si>
  <si>
    <t>&lt;Ebm(LET)&gt;</t>
    <phoneticPr fontId="18"/>
  </si>
  <si>
    <t>E4bm</t>
    <phoneticPr fontId="18"/>
  </si>
  <si>
    <t>[μm]</t>
    <phoneticPr fontId="18"/>
  </si>
  <si>
    <t>R^2</t>
    <phoneticPr fontId="18"/>
  </si>
  <si>
    <t>srim84Kr_</t>
    <phoneticPr fontId="18"/>
  </si>
  <si>
    <t xml:space="preserve"> 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</si>
</sst>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176" formatCode="0.0000"/>
    <numFmt numFmtId="177" formatCode="0.000"/>
    <numFmt numFmtId="178" formatCode="0.0"/>
    <numFmt numFmtId="179" formatCode="#,##0.0;[Red]\-#,##0.0"/>
    <numFmt numFmtId="180" formatCode="&quot;in &quot;@"/>
    <numFmt numFmtId="181" formatCode="&quot;in &quot;"/>
    <numFmt numFmtId="182" formatCode="0.00_ "/>
    <numFmt numFmtId="183" formatCode="0_ "/>
    <numFmt numFmtId="184" formatCode="0.0_ "/>
    <numFmt numFmtId="185" formatCode="&quot;LETinSi @ &quot;0.0&quot;um&quot;"/>
    <numFmt numFmtId="186" formatCode="0.00000"/>
    <numFmt numFmtId="187" formatCode="&quot;LETinSi@&quot;0.0&quot;um&quot;"/>
  </numFmts>
  <fonts count="64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0"/>
      <name val="Arial"/>
      <family val="2"/>
      <charset val="204"/>
    </font>
    <font>
      <sz val="10"/>
      <name val="MS Sans Serif"/>
      <family val="2"/>
    </font>
    <font>
      <sz val="10"/>
      <name val="Geneva"/>
      <family val="2"/>
    </font>
    <font>
      <b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</font>
    <font>
      <b/>
      <sz val="16"/>
      <color theme="1"/>
      <name val="ＭＳ Ｐゴシック"/>
      <family val="3"/>
      <charset val="128"/>
      <scheme val="minor"/>
    </font>
    <font>
      <sz val="10"/>
      <name val="細明朝体"/>
      <family val="3"/>
      <charset val="128"/>
    </font>
    <font>
      <sz val="9"/>
      <color theme="1"/>
      <name val="ＭＳ Ｐゴシック"/>
      <family val="3"/>
      <charset val="128"/>
      <scheme val="minor"/>
    </font>
    <font>
      <b/>
      <sz val="11"/>
      <color rgb="FFFF00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color rgb="FFFF00FF"/>
      <name val="ＭＳ Ｐゴシック"/>
      <family val="3"/>
      <charset val="128"/>
      <scheme val="minor"/>
    </font>
    <font>
      <b/>
      <sz val="11"/>
      <color rgb="FFFF00FF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Arial"/>
      <family val="2"/>
    </font>
    <font>
      <sz val="11"/>
      <color rgb="FF9900FF"/>
      <name val="ＭＳ Ｐゴシック"/>
      <family val="3"/>
      <charset val="128"/>
      <scheme val="minor"/>
    </font>
    <font>
      <sz val="12"/>
      <name val="Osaka"/>
      <family val="3"/>
      <charset val="128"/>
    </font>
    <font>
      <sz val="9"/>
      <color rgb="FFFF0000"/>
      <name val="ＭＳ Ｐゴシック"/>
      <family val="3"/>
      <charset val="128"/>
      <scheme val="minor"/>
    </font>
    <font>
      <b/>
      <sz val="16"/>
      <color rgb="FFFF0000"/>
      <name val="ＭＳ Ｐゴシック"/>
      <family val="3"/>
      <charset val="128"/>
      <scheme val="minor"/>
    </font>
    <font>
      <sz val="9"/>
      <color theme="1" tint="0.499984740745262"/>
      <name val="ＭＳ Ｐゴシック"/>
      <family val="3"/>
      <charset val="128"/>
      <scheme val="minor"/>
    </font>
    <font>
      <sz val="11"/>
      <color rgb="FFC00000"/>
      <name val="ＭＳ Ｐゴシック"/>
      <family val="3"/>
      <charset val="128"/>
      <scheme val="minor"/>
    </font>
    <font>
      <sz val="11"/>
      <color rgb="FF008000"/>
      <name val="ＭＳ Ｐゴシック"/>
      <family val="3"/>
      <charset val="128"/>
      <scheme val="minor"/>
    </font>
    <font>
      <b/>
      <sz val="11"/>
      <color rgb="FF0000FF"/>
      <name val="ＭＳ Ｐゴシック"/>
      <family val="3"/>
      <charset val="128"/>
      <scheme val="minor"/>
    </font>
    <font>
      <sz val="10"/>
      <color theme="1" tint="0.499984740745262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b/>
      <sz val="11"/>
      <color rgb="FF008000"/>
      <name val="ＭＳ Ｐゴシック"/>
      <family val="3"/>
      <charset val="128"/>
      <scheme val="minor"/>
    </font>
    <font>
      <sz val="10"/>
      <color rgb="FF008000"/>
      <name val="ＭＳ Ｐゴシック"/>
      <family val="3"/>
      <charset val="128"/>
      <scheme val="minor"/>
    </font>
    <font>
      <i/>
      <sz val="11"/>
      <color rgb="FF008000"/>
      <name val="ＭＳ Ｐゴシック"/>
      <family val="3"/>
      <charset val="128"/>
      <scheme val="minor"/>
    </font>
    <font>
      <sz val="11"/>
      <color rgb="FF0000FF"/>
      <name val="ＭＳ Ｐゴシック"/>
      <family val="3"/>
      <charset val="128"/>
      <scheme val="minor"/>
    </font>
    <font>
      <i/>
      <sz val="11"/>
      <color rgb="FFFF00FF"/>
      <name val="ＭＳ Ｐゴシック"/>
      <family val="3"/>
      <charset val="128"/>
      <scheme val="minor"/>
    </font>
    <font>
      <i/>
      <sz val="9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9"/>
      <color indexed="12"/>
      <name val="ＭＳ Ｐゴシック"/>
      <family val="3"/>
      <charset val="128"/>
    </font>
    <font>
      <b/>
      <sz val="12"/>
      <color indexed="12"/>
      <name val="ＭＳ Ｐゴシック"/>
      <family val="3"/>
      <charset val="128"/>
    </font>
    <font>
      <sz val="6"/>
      <name val="細明朝体"/>
      <family val="3"/>
      <charset val="128"/>
    </font>
    <font>
      <b/>
      <sz val="9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9"/>
      <color rgb="FF0000FF"/>
      <name val="ＭＳ Ｐゴシック"/>
      <family val="3"/>
      <charset val="128"/>
      <scheme val="minor"/>
    </font>
    <font>
      <sz val="9"/>
      <color rgb="FFC00000"/>
      <name val="ＭＳ Ｐゴシック"/>
      <family val="3"/>
      <charset val="128"/>
      <scheme val="minor"/>
    </font>
    <font>
      <sz val="9"/>
      <color rgb="FF33CC33"/>
      <name val="ＭＳ Ｐゴシック"/>
      <family val="3"/>
      <charset val="128"/>
      <scheme val="minor"/>
    </font>
    <font>
      <sz val="9"/>
      <color rgb="FF6600FF"/>
      <name val="ＭＳ Ｐゴシック"/>
      <family val="3"/>
      <charset val="128"/>
      <scheme val="minor"/>
    </font>
    <font>
      <sz val="9"/>
      <color rgb="FF00B050"/>
      <name val="ＭＳ Ｐゴシック"/>
      <family val="3"/>
      <charset val="128"/>
      <scheme val="minor"/>
    </font>
    <font>
      <sz val="11"/>
      <color theme="3"/>
      <name val="ＭＳ Ｐゴシック"/>
      <family val="3"/>
      <charset val="128"/>
      <scheme val="minor"/>
    </font>
    <font>
      <b/>
      <sz val="9"/>
      <color rgb="FF33CC33"/>
      <name val="ＭＳ Ｐゴシック"/>
      <family val="3"/>
      <charset val="128"/>
      <scheme val="minor"/>
    </font>
    <font>
      <b/>
      <sz val="12"/>
      <color rgb="FF0000FF"/>
      <name val="ＭＳ Ｐゴシック"/>
      <family val="3"/>
      <charset val="128"/>
      <scheme val="minor"/>
    </font>
    <font>
      <b/>
      <sz val="11"/>
      <color rgb="FF33CC33"/>
      <name val="ＭＳ Ｐゴシック"/>
      <family val="3"/>
      <charset val="128"/>
      <scheme val="minor"/>
    </font>
    <font>
      <b/>
      <sz val="11"/>
      <color rgb="FF00CC00"/>
      <name val="ＭＳ Ｐゴシック"/>
      <family val="3"/>
      <charset val="128"/>
      <scheme val="minor"/>
    </font>
    <font>
      <sz val="11"/>
      <color rgb="FF33CC33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99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93">
    <xf numFmtId="0" fontId="0" fillId="0" borderId="0">
      <alignment vertical="center"/>
    </xf>
    <xf numFmtId="0" fontId="13" fillId="0" borderId="0"/>
    <xf numFmtId="0" fontId="16" fillId="0" borderId="0">
      <alignment vertical="center"/>
    </xf>
    <xf numFmtId="0" fontId="12" fillId="0" borderId="0"/>
    <xf numFmtId="0" fontId="16" fillId="0" borderId="0">
      <alignment vertical="center"/>
    </xf>
    <xf numFmtId="0" fontId="14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38" fontId="10" fillId="0" borderId="0" applyFont="0" applyFill="0" applyBorder="0" applyAlignment="0" applyProtection="0">
      <alignment vertical="center"/>
    </xf>
    <xf numFmtId="0" fontId="19" fillId="0" borderId="0">
      <alignment vertical="center"/>
    </xf>
    <xf numFmtId="0" fontId="21" fillId="0" borderId="0"/>
    <xf numFmtId="0" fontId="9" fillId="0" borderId="0">
      <alignment vertical="center"/>
    </xf>
    <xf numFmtId="9" fontId="21" fillId="0" borderId="0" applyFont="0" applyFill="0" applyBorder="0" applyAlignment="0" applyProtection="0">
      <alignment vertical="center"/>
    </xf>
    <xf numFmtId="0" fontId="19" fillId="0" borderId="0">
      <alignment vertical="center"/>
    </xf>
    <xf numFmtId="0" fontId="8" fillId="0" borderId="0">
      <alignment vertical="center"/>
    </xf>
    <xf numFmtId="0" fontId="27" fillId="0" borderId="0"/>
    <xf numFmtId="0" fontId="28" fillId="0" borderId="0">
      <alignment vertical="center"/>
    </xf>
    <xf numFmtId="0" fontId="29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31" fillId="0" borderId="0"/>
    <xf numFmtId="38" fontId="31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28" fillId="0" borderId="0" applyFont="0" applyFill="0" applyBorder="0" applyAlignment="0" applyProtection="0">
      <alignment vertical="center"/>
    </xf>
  </cellStyleXfs>
  <cellXfs count="364">
    <xf numFmtId="0" fontId="0" fillId="0" borderId="0" xfId="0">
      <alignment vertical="center"/>
    </xf>
    <xf numFmtId="0" fontId="0" fillId="0" borderId="5" xfId="0" applyBorder="1">
      <alignment vertical="center"/>
    </xf>
    <xf numFmtId="0" fontId="0" fillId="0" borderId="8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178" fontId="25" fillId="0" borderId="0" xfId="0" applyNumberFormat="1" applyFont="1" applyFill="1" applyBorder="1">
      <alignment vertical="center"/>
    </xf>
    <xf numFmtId="0" fontId="0" fillId="0" borderId="0" xfId="0" applyBorder="1" applyAlignment="1">
      <alignment horizontal="right" vertical="center"/>
    </xf>
    <xf numFmtId="0" fontId="0" fillId="0" borderId="0" xfId="0" applyFill="1" applyBorder="1">
      <alignment vertical="center"/>
    </xf>
    <xf numFmtId="0" fontId="22" fillId="0" borderId="0" xfId="0" applyFont="1">
      <alignment vertical="center"/>
    </xf>
    <xf numFmtId="0" fontId="22" fillId="0" borderId="0" xfId="0" applyFont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0" fillId="0" borderId="10" xfId="0" applyFill="1" applyBorder="1" applyAlignment="1">
      <alignment horizontal="right" vertical="center"/>
    </xf>
    <xf numFmtId="0" fontId="0" fillId="0" borderId="9" xfId="0" applyBorder="1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0" fillId="0" borderId="10" xfId="0" applyBorder="1" applyAlignment="1">
      <alignment horizontal="right" vertical="center"/>
    </xf>
    <xf numFmtId="0" fontId="22" fillId="0" borderId="0" xfId="0" applyFont="1" applyBorder="1" applyAlignment="1">
      <alignment horizontal="right" vertical="center"/>
    </xf>
    <xf numFmtId="0" fontId="22" fillId="0" borderId="0" xfId="0" applyFont="1" applyFill="1" applyBorder="1" applyAlignment="1">
      <alignment horizontal="center" vertical="center"/>
    </xf>
    <xf numFmtId="0" fontId="0" fillId="0" borderId="9" xfId="0" applyBorder="1" applyAlignment="1">
      <alignment horizontal="right" vertical="center"/>
    </xf>
    <xf numFmtId="0" fontId="17" fillId="0" borderId="0" xfId="0" applyFont="1">
      <alignment vertical="center"/>
    </xf>
    <xf numFmtId="0" fontId="0" fillId="0" borderId="0" xfId="0" applyBorder="1">
      <alignment vertical="center"/>
    </xf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2" xfId="0" applyBorder="1">
      <alignment vertical="center"/>
    </xf>
    <xf numFmtId="0" fontId="0" fillId="0" borderId="9" xfId="0" applyBorder="1">
      <alignment vertical="center"/>
    </xf>
    <xf numFmtId="0" fontId="0" fillId="0" borderId="4" xfId="0" applyBorder="1">
      <alignment vertical="center"/>
    </xf>
    <xf numFmtId="2" fontId="0" fillId="0" borderId="5" xfId="0" applyNumberFormat="1" applyFont="1" applyFill="1" applyBorder="1" applyAlignment="1">
      <alignment horizontal="right" vertical="center"/>
    </xf>
    <xf numFmtId="178" fontId="26" fillId="0" borderId="0" xfId="0" applyNumberFormat="1" applyFont="1" applyFill="1" applyBorder="1">
      <alignment vertical="center"/>
    </xf>
    <xf numFmtId="178" fontId="25" fillId="0" borderId="0" xfId="0" applyNumberFormat="1" applyFont="1" applyBorder="1">
      <alignment vertical="center"/>
    </xf>
    <xf numFmtId="0" fontId="0" fillId="2" borderId="0" xfId="0" applyFill="1">
      <alignment vertical="center"/>
    </xf>
    <xf numFmtId="0" fontId="20" fillId="2" borderId="0" xfId="0" applyFont="1" applyFill="1" applyBorder="1" applyAlignment="1">
      <alignment horizontal="left" vertical="center"/>
    </xf>
    <xf numFmtId="0" fontId="34" fillId="0" borderId="0" xfId="0" applyFont="1">
      <alignment vertical="center"/>
    </xf>
    <xf numFmtId="0" fontId="34" fillId="0" borderId="0" xfId="0" applyFont="1" applyBorder="1">
      <alignment vertical="center"/>
    </xf>
    <xf numFmtId="0" fontId="34" fillId="0" borderId="0" xfId="0" applyFont="1" applyBorder="1" applyAlignment="1">
      <alignment horizontal="left" vertical="center"/>
    </xf>
    <xf numFmtId="0" fontId="22" fillId="0" borderId="0" xfId="0" applyFont="1" applyBorder="1">
      <alignment vertical="center"/>
    </xf>
    <xf numFmtId="0" fontId="0" fillId="2" borderId="0" xfId="0" applyFill="1" applyBorder="1">
      <alignment vertical="center"/>
    </xf>
    <xf numFmtId="0" fontId="22" fillId="2" borderId="0" xfId="0" applyFont="1" applyFill="1" applyBorder="1">
      <alignment vertical="center"/>
    </xf>
    <xf numFmtId="0" fontId="0" fillId="0" borderId="0" xfId="0" applyAlignment="1">
      <alignment horizontal="right" vertical="center"/>
    </xf>
    <xf numFmtId="0" fontId="0" fillId="0" borderId="9" xfId="0" applyFont="1" applyFill="1" applyBorder="1" applyAlignment="1">
      <alignment horizontal="right" vertical="center"/>
    </xf>
    <xf numFmtId="0" fontId="0" fillId="0" borderId="4" xfId="0" applyFont="1" applyFill="1" applyBorder="1">
      <alignment vertical="center"/>
    </xf>
    <xf numFmtId="0" fontId="0" fillId="0" borderId="11" xfId="0" applyFill="1" applyBorder="1" applyAlignment="1">
      <alignment horizontal="right" vertical="center"/>
    </xf>
    <xf numFmtId="0" fontId="0" fillId="0" borderId="0" xfId="0" applyFont="1" applyFill="1" applyBorder="1">
      <alignment vertical="center"/>
    </xf>
    <xf numFmtId="0" fontId="0" fillId="0" borderId="0" xfId="0" applyFont="1" applyBorder="1">
      <alignment vertical="center"/>
    </xf>
    <xf numFmtId="0" fontId="0" fillId="0" borderId="5" xfId="0" applyFont="1" applyFill="1" applyBorder="1">
      <alignment vertical="center"/>
    </xf>
    <xf numFmtId="2" fontId="35" fillId="0" borderId="0" xfId="0" applyNumberFormat="1" applyFont="1" applyBorder="1">
      <alignment vertical="center"/>
    </xf>
    <xf numFmtId="0" fontId="0" fillId="0" borderId="0" xfId="0" applyFill="1" applyBorder="1" applyAlignment="1">
      <alignment horizontal="right" vertical="center"/>
    </xf>
    <xf numFmtId="0" fontId="15" fillId="0" borderId="0" xfId="1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right" vertical="center"/>
    </xf>
    <xf numFmtId="178" fontId="0" fillId="0" borderId="6" xfId="0" applyNumberFormat="1" applyFont="1" applyFill="1" applyBorder="1" applyAlignment="1">
      <alignment horizontal="right" vertical="center"/>
    </xf>
    <xf numFmtId="177" fontId="0" fillId="0" borderId="0" xfId="0" applyNumberFormat="1" applyFont="1" applyFill="1" applyBorder="1" applyAlignment="1">
      <alignment horizontal="right" vertical="center"/>
    </xf>
    <xf numFmtId="0" fontId="15" fillId="0" borderId="0" xfId="0" applyFont="1" applyBorder="1">
      <alignment vertical="center"/>
    </xf>
    <xf numFmtId="0" fontId="17" fillId="0" borderId="0" xfId="0" applyFont="1" applyFill="1" applyBorder="1" applyAlignment="1">
      <alignment horizontal="center" vertical="center"/>
    </xf>
    <xf numFmtId="177" fontId="23" fillId="0" borderId="0" xfId="0" applyNumberFormat="1" applyFont="1" applyFill="1" applyBorder="1">
      <alignment vertical="center"/>
    </xf>
    <xf numFmtId="177" fontId="0" fillId="0" borderId="0" xfId="0" applyNumberFormat="1">
      <alignment vertical="center"/>
    </xf>
    <xf numFmtId="2" fontId="0" fillId="0" borderId="0" xfId="0" applyNumberFormat="1">
      <alignment vertical="center"/>
    </xf>
    <xf numFmtId="179" fontId="0" fillId="0" borderId="0" xfId="92" applyNumberFormat="1" applyFont="1" applyFill="1" applyBorder="1" applyAlignment="1">
      <alignment horizontal="right" vertical="center"/>
    </xf>
    <xf numFmtId="0" fontId="37" fillId="0" borderId="0" xfId="0" applyFont="1" applyBorder="1" applyAlignment="1">
      <alignment horizontal="center" vertical="center"/>
    </xf>
    <xf numFmtId="178" fontId="0" fillId="0" borderId="0" xfId="0" applyNumberFormat="1" applyFont="1" applyFill="1" applyBorder="1" applyAlignment="1">
      <alignment horizontal="right" vertical="center"/>
    </xf>
    <xf numFmtId="2" fontId="0" fillId="0" borderId="0" xfId="0" applyNumberFormat="1" applyFont="1" applyFill="1" applyBorder="1" applyAlignment="1">
      <alignment horizontal="right" vertical="center"/>
    </xf>
    <xf numFmtId="1" fontId="0" fillId="0" borderId="0" xfId="0" applyNumberFormat="1" applyFont="1" applyFill="1" applyBorder="1" applyAlignment="1">
      <alignment horizontal="right" vertical="center"/>
    </xf>
    <xf numFmtId="178" fontId="15" fillId="0" borderId="0" xfId="0" applyNumberFormat="1" applyFont="1" applyFill="1" applyBorder="1" applyAlignment="1">
      <alignment horizontal="right" vertical="center"/>
    </xf>
    <xf numFmtId="0" fontId="0" fillId="0" borderId="6" xfId="0" applyFont="1" applyBorder="1" applyAlignment="1">
      <alignment horizontal="center" vertical="center"/>
    </xf>
    <xf numFmtId="179" fontId="0" fillId="0" borderId="8" xfId="92" applyNumberFormat="1" applyFont="1" applyFill="1" applyBorder="1" applyAlignment="1">
      <alignment horizontal="center" vertical="center"/>
    </xf>
    <xf numFmtId="176" fontId="0" fillId="0" borderId="0" xfId="0" applyNumberFormat="1" applyBorder="1">
      <alignment vertical="center"/>
    </xf>
    <xf numFmtId="177" fontId="0" fillId="0" borderId="0" xfId="0" applyNumberFormat="1" applyBorder="1">
      <alignment vertical="center"/>
    </xf>
    <xf numFmtId="2" fontId="0" fillId="0" borderId="0" xfId="0" applyNumberFormat="1" applyBorder="1">
      <alignment vertical="center"/>
    </xf>
    <xf numFmtId="2" fontId="0" fillId="0" borderId="6" xfId="0" applyNumberFormat="1" applyBorder="1">
      <alignment vertical="center"/>
    </xf>
    <xf numFmtId="1" fontId="0" fillId="0" borderId="6" xfId="0" applyNumberFormat="1" applyFont="1" applyFill="1" applyBorder="1" applyAlignment="1">
      <alignment horizontal="right" vertical="center"/>
    </xf>
    <xf numFmtId="2" fontId="0" fillId="0" borderId="6" xfId="0" applyNumberFormat="1" applyFont="1" applyFill="1" applyBorder="1" applyAlignment="1">
      <alignment horizontal="right" vertical="center"/>
    </xf>
    <xf numFmtId="2" fontId="0" fillId="0" borderId="8" xfId="0" applyNumberFormat="1" applyFont="1" applyFill="1" applyBorder="1" applyAlignment="1">
      <alignment horizontal="right" vertical="center"/>
    </xf>
    <xf numFmtId="176" fontId="36" fillId="0" borderId="0" xfId="0" applyNumberFormat="1" applyFont="1" applyBorder="1">
      <alignment vertical="center"/>
    </xf>
    <xf numFmtId="178" fontId="25" fillId="0" borderId="6" xfId="0" applyNumberFormat="1" applyFont="1" applyBorder="1">
      <alignment vertical="center"/>
    </xf>
    <xf numFmtId="0" fontId="28" fillId="0" borderId="0" xfId="10" applyFont="1" applyFill="1" applyBorder="1" applyAlignment="1">
      <alignment horizontal="left" vertical="center"/>
    </xf>
    <xf numFmtId="0" fontId="38" fillId="0" borderId="0" xfId="0" applyFont="1" applyBorder="1" applyAlignment="1">
      <alignment horizontal="left" vertical="center"/>
    </xf>
    <xf numFmtId="0" fontId="39" fillId="2" borderId="0" xfId="0" applyFont="1" applyFill="1" applyBorder="1" applyAlignment="1">
      <alignment horizontal="left" vertical="center"/>
    </xf>
    <xf numFmtId="178" fontId="17" fillId="0" borderId="0" xfId="0" applyNumberFormat="1" applyFont="1" applyFill="1" applyBorder="1" applyAlignment="1">
      <alignment horizontal="right" vertical="center"/>
    </xf>
    <xf numFmtId="178" fontId="17" fillId="0" borderId="6" xfId="0" applyNumberFormat="1" applyFont="1" applyFill="1" applyBorder="1" applyAlignment="1">
      <alignment horizontal="right" vertical="center"/>
    </xf>
    <xf numFmtId="0" fontId="17" fillId="0" borderId="0" xfId="0" applyFont="1" applyFill="1" applyBorder="1">
      <alignment vertical="center"/>
    </xf>
    <xf numFmtId="1" fontId="17" fillId="0" borderId="0" xfId="0" applyNumberFormat="1" applyFont="1" applyFill="1" applyBorder="1" applyAlignment="1">
      <alignment horizontal="right" vertical="center"/>
    </xf>
    <xf numFmtId="0" fontId="0" fillId="0" borderId="1" xfId="0" applyFont="1" applyFill="1" applyBorder="1" applyAlignment="1">
      <alignment horizontal="right" vertical="center"/>
    </xf>
    <xf numFmtId="0" fontId="15" fillId="0" borderId="0" xfId="0" applyFont="1" applyFill="1" applyBorder="1" applyAlignment="1">
      <alignment horizontal="center" vertical="center"/>
    </xf>
    <xf numFmtId="0" fontId="0" fillId="0" borderId="2" xfId="0" applyBorder="1" applyAlignment="1">
      <alignment horizontal="right" vertical="center"/>
    </xf>
    <xf numFmtId="0" fontId="0" fillId="0" borderId="1" xfId="0" applyFill="1" applyBorder="1" applyAlignment="1">
      <alignment horizontal="right" vertical="center"/>
    </xf>
    <xf numFmtId="2" fontId="17" fillId="0" borderId="0" xfId="0" applyNumberFormat="1" applyFont="1" applyFill="1" applyBorder="1" applyAlignment="1">
      <alignment horizontal="right" vertical="center"/>
    </xf>
    <xf numFmtId="0" fontId="37" fillId="0" borderId="3" xfId="0" applyFont="1" applyFill="1" applyBorder="1" applyAlignment="1">
      <alignment horizontal="center" vertical="center"/>
    </xf>
    <xf numFmtId="0" fontId="0" fillId="0" borderId="0" xfId="0" quotePrefix="1" applyFont="1" applyFill="1" applyBorder="1" applyAlignment="1">
      <alignment horizontal="center" vertical="center"/>
    </xf>
    <xf numFmtId="0" fontId="15" fillId="0" borderId="3" xfId="0" applyFont="1" applyBorder="1">
      <alignment vertical="center"/>
    </xf>
    <xf numFmtId="0" fontId="17" fillId="0" borderId="4" xfId="0" applyFont="1" applyBorder="1">
      <alignment vertical="center"/>
    </xf>
    <xf numFmtId="0" fontId="0" fillId="0" borderId="14" xfId="0" quotePrefix="1" applyFont="1" applyFill="1" applyBorder="1" applyAlignment="1">
      <alignment horizontal="left" vertical="center"/>
    </xf>
    <xf numFmtId="0" fontId="17" fillId="0" borderId="5" xfId="0" quotePrefix="1" applyFont="1" applyFill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0" fontId="15" fillId="0" borderId="4" xfId="0" applyFont="1" applyBorder="1">
      <alignment vertical="center"/>
    </xf>
    <xf numFmtId="0" fontId="0" fillId="0" borderId="8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80" fontId="0" fillId="0" borderId="4" xfId="0" applyNumberFormat="1" applyFont="1" applyBorder="1">
      <alignment vertical="center"/>
    </xf>
    <xf numFmtId="0" fontId="0" fillId="0" borderId="14" xfId="0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179" fontId="0" fillId="0" borderId="7" xfId="92" applyNumberFormat="1" applyFont="1" applyFill="1" applyBorder="1" applyAlignment="1">
      <alignment horizontal="center" vertical="center"/>
    </xf>
    <xf numFmtId="2" fontId="40" fillId="4" borderId="11" xfId="0" applyNumberFormat="1" applyFont="1" applyFill="1" applyBorder="1" applyAlignment="1">
      <alignment horizontal="right" vertical="center"/>
    </xf>
    <xf numFmtId="178" fontId="36" fillId="0" borderId="0" xfId="0" applyNumberFormat="1" applyFont="1" applyFill="1" applyBorder="1" applyAlignment="1">
      <alignment horizontal="right" vertical="center"/>
    </xf>
    <xf numFmtId="178" fontId="41" fillId="0" borderId="0" xfId="0" applyNumberFormat="1" applyFont="1" applyFill="1" applyBorder="1" applyAlignment="1">
      <alignment horizontal="right" vertical="center"/>
    </xf>
    <xf numFmtId="1" fontId="36" fillId="0" borderId="0" xfId="0" applyNumberFormat="1" applyFont="1" applyFill="1" applyBorder="1" applyAlignment="1">
      <alignment horizontal="right" vertical="center"/>
    </xf>
    <xf numFmtId="0" fontId="0" fillId="3" borderId="0" xfId="0" applyFill="1">
      <alignment vertical="center"/>
    </xf>
    <xf numFmtId="2" fontId="0" fillId="3" borderId="0" xfId="0" applyNumberFormat="1" applyFont="1" applyFill="1" applyBorder="1" applyAlignment="1">
      <alignment horizontal="right" vertical="center"/>
    </xf>
    <xf numFmtId="176" fontId="0" fillId="3" borderId="0" xfId="0" applyNumberFormat="1" applyFill="1" applyBorder="1">
      <alignment vertical="center"/>
    </xf>
    <xf numFmtId="1" fontId="0" fillId="3" borderId="0" xfId="0" applyNumberFormat="1" applyFont="1" applyFill="1" applyBorder="1" applyAlignment="1">
      <alignment horizontal="right" vertical="center"/>
    </xf>
    <xf numFmtId="178" fontId="0" fillId="3" borderId="0" xfId="0" applyNumberFormat="1" applyFont="1" applyFill="1" applyBorder="1" applyAlignment="1">
      <alignment horizontal="right" vertical="center"/>
    </xf>
    <xf numFmtId="178" fontId="17" fillId="3" borderId="0" xfId="0" applyNumberFormat="1" applyFont="1" applyFill="1" applyBorder="1" applyAlignment="1">
      <alignment horizontal="right" vertical="center"/>
    </xf>
    <xf numFmtId="2" fontId="17" fillId="3" borderId="0" xfId="0" applyNumberFormat="1" applyFont="1" applyFill="1" applyBorder="1" applyAlignment="1">
      <alignment horizontal="right" vertical="center"/>
    </xf>
    <xf numFmtId="177" fontId="0" fillId="3" borderId="0" xfId="0" applyNumberFormat="1" applyFont="1" applyFill="1" applyBorder="1" applyAlignment="1">
      <alignment horizontal="right" vertical="center"/>
    </xf>
    <xf numFmtId="177" fontId="0" fillId="3" borderId="0" xfId="0" applyNumberFormat="1" applyFill="1" applyBorder="1">
      <alignment vertical="center"/>
    </xf>
    <xf numFmtId="2" fontId="0" fillId="3" borderId="5" xfId="0" applyNumberFormat="1" applyFont="1" applyFill="1" applyBorder="1" applyAlignment="1">
      <alignment horizontal="right" vertical="center"/>
    </xf>
    <xf numFmtId="1" fontId="17" fillId="3" borderId="0" xfId="0" applyNumberFormat="1" applyFont="1" applyFill="1" applyBorder="1" applyAlignment="1">
      <alignment horizontal="right" vertical="center"/>
    </xf>
    <xf numFmtId="178" fontId="22" fillId="0" borderId="0" xfId="0" applyNumberFormat="1" applyFont="1" applyFill="1" applyBorder="1" applyAlignment="1">
      <alignment horizontal="right" vertical="center"/>
    </xf>
    <xf numFmtId="2" fontId="0" fillId="0" borderId="0" xfId="0" applyNumberFormat="1" applyFont="1" applyBorder="1" applyAlignment="1">
      <alignment horizontal="center" vertical="center"/>
    </xf>
    <xf numFmtId="181" fontId="0" fillId="0" borderId="3" xfId="0" applyNumberFormat="1" applyFont="1" applyBorder="1">
      <alignment vertical="center"/>
    </xf>
    <xf numFmtId="0" fontId="17" fillId="0" borderId="3" xfId="0" applyFont="1" applyBorder="1">
      <alignment vertical="center"/>
    </xf>
    <xf numFmtId="0" fontId="0" fillId="0" borderId="14" xfId="0" quotePrefix="1" applyFont="1" applyFill="1" applyBorder="1" applyAlignment="1">
      <alignment horizontal="center" vertical="center"/>
    </xf>
    <xf numFmtId="0" fontId="17" fillId="0" borderId="2" xfId="0" applyFont="1" applyBorder="1">
      <alignment vertical="center"/>
    </xf>
    <xf numFmtId="181" fontId="0" fillId="0" borderId="2" xfId="0" applyNumberFormat="1" applyFont="1" applyBorder="1" applyAlignment="1">
      <alignment horizontal="right" vertical="center"/>
    </xf>
    <xf numFmtId="178" fontId="37" fillId="0" borderId="0" xfId="0" applyNumberFormat="1" applyFont="1" applyBorder="1" applyAlignment="1">
      <alignment horizontal="center" vertical="center"/>
    </xf>
    <xf numFmtId="0" fontId="41" fillId="0" borderId="0" xfId="0" applyFont="1" applyBorder="1" applyAlignment="1">
      <alignment horizontal="center" vertical="center"/>
    </xf>
    <xf numFmtId="0" fontId="36" fillId="0" borderId="0" xfId="0" applyFont="1" applyBorder="1" applyAlignment="1">
      <alignment horizontal="center" vertical="center"/>
    </xf>
    <xf numFmtId="0" fontId="36" fillId="0" borderId="0" xfId="0" quotePrefix="1" applyFont="1" applyFill="1" applyBorder="1" applyAlignment="1">
      <alignment horizontal="center" vertical="center"/>
    </xf>
    <xf numFmtId="0" fontId="36" fillId="0" borderId="6" xfId="0" applyFont="1" applyBorder="1" applyAlignment="1">
      <alignment horizontal="center" vertical="center"/>
    </xf>
    <xf numFmtId="0" fontId="36" fillId="0" borderId="14" xfId="0" quotePrefix="1" applyFont="1" applyFill="1" applyBorder="1" applyAlignment="1">
      <alignment horizontal="center" vertical="center"/>
    </xf>
    <xf numFmtId="0" fontId="36" fillId="0" borderId="7" xfId="0" applyFont="1" applyBorder="1" applyAlignment="1">
      <alignment horizontal="center" vertical="center"/>
    </xf>
    <xf numFmtId="0" fontId="40" fillId="0" borderId="0" xfId="0" applyFont="1" applyBorder="1">
      <alignment vertical="center"/>
    </xf>
    <xf numFmtId="178" fontId="41" fillId="0" borderId="0" xfId="0" applyNumberFormat="1" applyFont="1" applyBorder="1">
      <alignment vertical="center"/>
    </xf>
    <xf numFmtId="0" fontId="22" fillId="0" borderId="0" xfId="0" quotePrefix="1" applyFont="1" applyFill="1" applyBorder="1" applyAlignment="1">
      <alignment horizontal="center" vertical="center"/>
    </xf>
    <xf numFmtId="0" fontId="22" fillId="0" borderId="6" xfId="0" applyFont="1" applyBorder="1" applyAlignment="1">
      <alignment horizontal="center" vertical="center"/>
    </xf>
    <xf numFmtId="0" fontId="22" fillId="0" borderId="5" xfId="0" quotePrefix="1" applyFont="1" applyFill="1" applyBorder="1" applyAlignment="1">
      <alignment horizontal="center" vertical="center"/>
    </xf>
    <xf numFmtId="0" fontId="22" fillId="0" borderId="8" xfId="0" applyFont="1" applyBorder="1" applyAlignment="1">
      <alignment horizontal="center" vertical="center"/>
    </xf>
    <xf numFmtId="2" fontId="42" fillId="0" borderId="0" xfId="0" quotePrefix="1" applyNumberFormat="1" applyFont="1" applyFill="1" applyBorder="1" applyAlignment="1">
      <alignment horizontal="right" vertical="center"/>
    </xf>
    <xf numFmtId="2" fontId="0" fillId="3" borderId="0" xfId="0" applyNumberFormat="1" applyFill="1" applyBorder="1">
      <alignment vertical="center"/>
    </xf>
    <xf numFmtId="2" fontId="15" fillId="3" borderId="0" xfId="0" applyNumberFormat="1" applyFont="1" applyFill="1" applyBorder="1" applyAlignment="1">
      <alignment horizontal="right" vertical="center"/>
    </xf>
    <xf numFmtId="178" fontId="0" fillId="0" borderId="2" xfId="0" applyNumberFormat="1" applyBorder="1">
      <alignment vertical="center"/>
    </xf>
    <xf numFmtId="178" fontId="0" fillId="0" borderId="3" xfId="0" applyNumberFormat="1" applyBorder="1">
      <alignment vertical="center"/>
    </xf>
    <xf numFmtId="178" fontId="15" fillId="0" borderId="3" xfId="0" applyNumberFormat="1" applyFont="1" applyFill="1" applyBorder="1" applyAlignment="1">
      <alignment horizontal="right" vertical="center"/>
    </xf>
    <xf numFmtId="178" fontId="0" fillId="0" borderId="3" xfId="0" applyNumberFormat="1" applyFont="1" applyFill="1" applyBorder="1" applyAlignment="1">
      <alignment horizontal="right" vertical="center"/>
    </xf>
    <xf numFmtId="178" fontId="17" fillId="0" borderId="3" xfId="0" applyNumberFormat="1" applyFont="1" applyFill="1" applyBorder="1" applyAlignment="1">
      <alignment horizontal="right" vertical="center"/>
    </xf>
    <xf numFmtId="2" fontId="17" fillId="0" borderId="3" xfId="0" applyNumberFormat="1" applyFont="1" applyFill="1" applyBorder="1" applyAlignment="1">
      <alignment horizontal="right" vertical="center"/>
    </xf>
    <xf numFmtId="178" fontId="0" fillId="0" borderId="4" xfId="0" applyNumberFormat="1" applyFont="1" applyFill="1" applyBorder="1" applyAlignment="1">
      <alignment horizontal="right" vertical="center"/>
    </xf>
    <xf numFmtId="2" fontId="0" fillId="0" borderId="14" xfId="0" applyNumberFormat="1" applyFont="1" applyFill="1" applyBorder="1" applyAlignment="1">
      <alignment horizontal="right" vertical="center"/>
    </xf>
    <xf numFmtId="2" fontId="0" fillId="3" borderId="14" xfId="0" applyNumberFormat="1" applyFont="1" applyFill="1" applyBorder="1" applyAlignment="1">
      <alignment horizontal="right" vertical="center"/>
    </xf>
    <xf numFmtId="2" fontId="0" fillId="0" borderId="7" xfId="0" applyNumberFormat="1" applyFont="1" applyFill="1" applyBorder="1" applyAlignment="1">
      <alignment horizontal="right" vertical="center"/>
    </xf>
    <xf numFmtId="0" fontId="15" fillId="0" borderId="6" xfId="0" applyFont="1" applyFill="1" applyBorder="1" applyAlignment="1">
      <alignment horizontal="center" vertical="center"/>
    </xf>
    <xf numFmtId="0" fontId="0" fillId="0" borderId="0" xfId="0" applyFont="1">
      <alignment vertical="center"/>
    </xf>
    <xf numFmtId="0" fontId="0" fillId="0" borderId="0" xfId="0" applyFont="1" applyFill="1" applyBorder="1" applyAlignment="1">
      <alignment horizontal="left" vertical="center"/>
    </xf>
    <xf numFmtId="0" fontId="22" fillId="0" borderId="8" xfId="0" applyFont="1" applyBorder="1">
      <alignment vertical="center"/>
    </xf>
    <xf numFmtId="0" fontId="0" fillId="0" borderId="0" xfId="0" applyFont="1" applyFill="1" applyBorder="1" applyAlignment="1">
      <alignment horizontal="center" vertical="center"/>
    </xf>
    <xf numFmtId="0" fontId="15" fillId="0" borderId="0" xfId="0" applyFont="1">
      <alignment vertical="center"/>
    </xf>
    <xf numFmtId="0" fontId="34" fillId="0" borderId="0" xfId="0" applyFont="1" applyBorder="1" applyAlignment="1">
      <alignment vertical="center"/>
    </xf>
    <xf numFmtId="0" fontId="0" fillId="2" borderId="0" xfId="0" applyFill="1" applyBorder="1" applyAlignment="1">
      <alignment horizontal="center" vertical="center"/>
    </xf>
    <xf numFmtId="0" fontId="0" fillId="2" borderId="0" xfId="0" applyFont="1" applyFill="1" applyBorder="1" applyAlignment="1">
      <alignment horizontal="center" vertical="center"/>
    </xf>
    <xf numFmtId="0" fontId="22" fillId="2" borderId="0" xfId="0" applyFont="1" applyFill="1">
      <alignment vertical="center"/>
    </xf>
    <xf numFmtId="0" fontId="22" fillId="2" borderId="0" xfId="0" quotePrefix="1" applyNumberFormat="1" applyFont="1" applyFill="1" applyBorder="1" applyAlignment="1">
      <alignment horizontal="center" vertical="center"/>
    </xf>
    <xf numFmtId="0" fontId="22" fillId="2" borderId="0" xfId="0" applyNumberFormat="1" applyFont="1" applyFill="1" applyAlignment="1">
      <alignment horizontal="center" vertical="center"/>
    </xf>
    <xf numFmtId="0" fontId="22" fillId="2" borderId="0" xfId="0" applyNumberFormat="1" applyFont="1" applyFill="1" applyBorder="1" applyAlignment="1">
      <alignment horizontal="center" vertical="center"/>
    </xf>
    <xf numFmtId="11" fontId="22" fillId="2" borderId="0" xfId="0" applyNumberFormat="1" applyFont="1" applyFill="1" applyBorder="1" applyAlignment="1">
      <alignment horizontal="right"/>
    </xf>
    <xf numFmtId="183" fontId="47" fillId="2" borderId="0" xfId="0" applyNumberFormat="1" applyFont="1" applyFill="1" applyBorder="1" applyAlignment="1"/>
    <xf numFmtId="0" fontId="32" fillId="2" borderId="0" xfId="0" applyFont="1" applyFill="1" applyBorder="1" applyAlignment="1">
      <alignment horizontal="left" vertical="center"/>
    </xf>
    <xf numFmtId="0" fontId="17" fillId="2" borderId="0" xfId="0" applyFont="1" applyFill="1" applyBorder="1">
      <alignment vertical="center"/>
    </xf>
    <xf numFmtId="0" fontId="33" fillId="2" borderId="0" xfId="0" quotePrefix="1" applyNumberFormat="1" applyFont="1" applyFill="1" applyBorder="1" applyAlignment="1">
      <alignment horizontal="left" vertical="center"/>
    </xf>
    <xf numFmtId="0" fontId="32" fillId="2" borderId="0" xfId="0" applyFont="1" applyFill="1" applyBorder="1">
      <alignment vertical="center"/>
    </xf>
    <xf numFmtId="11" fontId="0" fillId="2" borderId="0" xfId="0" applyNumberFormat="1" applyFill="1" applyBorder="1" applyAlignment="1">
      <alignment horizontal="right"/>
    </xf>
    <xf numFmtId="183" fontId="48" fillId="2" borderId="0" xfId="0" applyNumberFormat="1" applyFont="1" applyFill="1" applyBorder="1" applyAlignment="1">
      <alignment horizontal="right"/>
    </xf>
    <xf numFmtId="0" fontId="46" fillId="0" borderId="0" xfId="10" applyFont="1" applyFill="1" applyAlignment="1">
      <alignment horizontal="left" vertical="center"/>
    </xf>
    <xf numFmtId="0" fontId="26" fillId="0" borderId="3" xfId="0" applyFont="1" applyFill="1" applyBorder="1" applyAlignment="1">
      <alignment horizontal="left" vertical="center"/>
    </xf>
    <xf numFmtId="0" fontId="0" fillId="0" borderId="4" xfId="0" applyFill="1" applyBorder="1">
      <alignment vertical="center"/>
    </xf>
    <xf numFmtId="0" fontId="22" fillId="0" borderId="0" xfId="0" applyFont="1" applyFill="1" applyBorder="1" applyAlignment="1">
      <alignment horizontal="right" vertical="center"/>
    </xf>
    <xf numFmtId="2" fontId="50" fillId="4" borderId="0" xfId="0" applyNumberFormat="1" applyFont="1" applyFill="1" applyBorder="1" applyAlignment="1">
      <alignment horizontal="right" vertical="center"/>
    </xf>
    <xf numFmtId="177" fontId="22" fillId="0" borderId="0" xfId="0" applyNumberFormat="1" applyFont="1" applyFill="1" applyBorder="1">
      <alignment vertical="center"/>
    </xf>
    <xf numFmtId="0" fontId="0" fillId="0" borderId="1" xfId="0" applyFill="1" applyBorder="1">
      <alignment vertical="center"/>
    </xf>
    <xf numFmtId="0" fontId="15" fillId="0" borderId="0" xfId="0" applyFont="1" applyFill="1" applyBorder="1">
      <alignment vertical="center"/>
    </xf>
    <xf numFmtId="0" fontId="15" fillId="0" borderId="5" xfId="0" applyFont="1" applyFill="1" applyBorder="1">
      <alignment vertical="center"/>
    </xf>
    <xf numFmtId="178" fontId="50" fillId="0" borderId="0" xfId="0" applyNumberFormat="1" applyFont="1" applyFill="1" applyBorder="1">
      <alignment vertical="center"/>
    </xf>
    <xf numFmtId="0" fontId="22" fillId="0" borderId="0" xfId="0" applyFont="1" applyFill="1" applyBorder="1">
      <alignment vertical="center"/>
    </xf>
    <xf numFmtId="0" fontId="28" fillId="0" borderId="0" xfId="0" applyFont="1">
      <alignment vertical="center"/>
    </xf>
    <xf numFmtId="0" fontId="37" fillId="0" borderId="15" xfId="0" applyFont="1" applyFill="1" applyBorder="1">
      <alignment vertical="center"/>
    </xf>
    <xf numFmtId="0" fontId="37" fillId="0" borderId="13" xfId="0" applyFont="1" applyFill="1" applyBorder="1">
      <alignment vertical="center"/>
    </xf>
    <xf numFmtId="0" fontId="0" fillId="0" borderId="10" xfId="0" applyFill="1" applyBorder="1">
      <alignment vertical="center"/>
    </xf>
    <xf numFmtId="2" fontId="26" fillId="0" borderId="6" xfId="0" applyNumberFormat="1" applyFont="1" applyBorder="1">
      <alignment vertical="center"/>
    </xf>
    <xf numFmtId="0" fontId="22" fillId="0" borderId="0" xfId="0" applyFont="1" applyAlignment="1">
      <alignment horizontal="right" vertical="center"/>
    </xf>
    <xf numFmtId="177" fontId="22" fillId="0" borderId="0" xfId="0" applyNumberFormat="1" applyFont="1">
      <alignment vertical="center"/>
    </xf>
    <xf numFmtId="0" fontId="22" fillId="0" borderId="0" xfId="0" quotePrefix="1" applyFont="1">
      <alignment vertical="center"/>
    </xf>
    <xf numFmtId="178" fontId="37" fillId="0" borderId="9" xfId="0" applyNumberFormat="1" applyFont="1" applyFill="1" applyBorder="1">
      <alignment vertical="center"/>
    </xf>
    <xf numFmtId="2" fontId="37" fillId="0" borderId="0" xfId="0" applyNumberFormat="1" applyFont="1" applyBorder="1">
      <alignment vertical="center"/>
    </xf>
    <xf numFmtId="0" fontId="50" fillId="0" borderId="0" xfId="0" applyFont="1">
      <alignment vertical="center"/>
    </xf>
    <xf numFmtId="0" fontId="23" fillId="0" borderId="0" xfId="10" applyFont="1" applyFill="1" applyAlignment="1">
      <alignment horizontal="left" vertical="center"/>
    </xf>
    <xf numFmtId="183" fontId="37" fillId="0" borderId="1" xfId="0" applyNumberFormat="1" applyFont="1" applyFill="1" applyBorder="1" applyAlignment="1">
      <alignment horizontal="right" vertical="center"/>
    </xf>
    <xf numFmtId="0" fontId="0" fillId="0" borderId="12" xfId="0" applyFill="1" applyBorder="1">
      <alignment vertical="center"/>
    </xf>
    <xf numFmtId="0" fontId="0" fillId="0" borderId="13" xfId="0" applyFill="1" applyBorder="1">
      <alignment vertical="center"/>
    </xf>
    <xf numFmtId="0" fontId="50" fillId="0" borderId="0" xfId="0" applyFont="1" applyAlignment="1">
      <alignment horizontal="right" vertical="center"/>
    </xf>
    <xf numFmtId="178" fontId="52" fillId="0" borderId="0" xfId="0" applyNumberFormat="1" applyFont="1">
      <alignment vertical="center"/>
    </xf>
    <xf numFmtId="178" fontId="37" fillId="0" borderId="1" xfId="0" applyNumberFormat="1" applyFont="1" applyFill="1" applyBorder="1">
      <alignment vertical="center"/>
    </xf>
    <xf numFmtId="0" fontId="43" fillId="0" borderId="1" xfId="0" applyFont="1" applyFill="1" applyBorder="1" applyAlignment="1">
      <alignment horizontal="center" vertical="center"/>
    </xf>
    <xf numFmtId="0" fontId="0" fillId="0" borderId="0" xfId="0" quotePrefix="1" applyFont="1" applyFill="1" applyBorder="1" applyAlignment="1">
      <alignment horizontal="left" vertical="center"/>
    </xf>
    <xf numFmtId="0" fontId="53" fillId="0" borderId="0" xfId="0" applyFont="1">
      <alignment vertical="center"/>
    </xf>
    <xf numFmtId="0" fontId="50" fillId="0" borderId="0" xfId="0" applyFont="1" applyBorder="1" applyAlignment="1">
      <alignment horizontal="right" vertical="center"/>
    </xf>
    <xf numFmtId="178" fontId="52" fillId="0" borderId="0" xfId="0" applyNumberFormat="1" applyFont="1" applyBorder="1">
      <alignment vertical="center"/>
    </xf>
    <xf numFmtId="178" fontId="37" fillId="4" borderId="10" xfId="0" applyNumberFormat="1" applyFont="1" applyFill="1" applyBorder="1">
      <alignment vertical="center"/>
    </xf>
    <xf numFmtId="177" fontId="54" fillId="0" borderId="0" xfId="0" applyNumberFormat="1" applyFont="1" applyBorder="1">
      <alignment vertical="center"/>
    </xf>
    <xf numFmtId="0" fontId="55" fillId="0" borderId="0" xfId="0" quotePrefix="1" applyFont="1">
      <alignment vertical="center"/>
    </xf>
    <xf numFmtId="178" fontId="37" fillId="0" borderId="0" xfId="0" applyNumberFormat="1" applyFont="1">
      <alignment vertical="center"/>
    </xf>
    <xf numFmtId="0" fontId="43" fillId="0" borderId="10" xfId="0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left" vertical="center"/>
    </xf>
    <xf numFmtId="0" fontId="0" fillId="0" borderId="8" xfId="0" applyFont="1" applyFill="1" applyBorder="1">
      <alignment vertical="center"/>
    </xf>
    <xf numFmtId="178" fontId="54" fillId="0" borderId="0" xfId="0" applyNumberFormat="1" applyFont="1" applyBorder="1">
      <alignment vertical="center"/>
    </xf>
    <xf numFmtId="0" fontId="43" fillId="0" borderId="0" xfId="0" applyFont="1" applyFill="1" applyBorder="1" applyAlignment="1">
      <alignment horizontal="center" vertical="center"/>
    </xf>
    <xf numFmtId="178" fontId="56" fillId="0" borderId="0" xfId="0" applyNumberFormat="1" applyFont="1" applyBorder="1">
      <alignment vertical="center"/>
    </xf>
    <xf numFmtId="0" fontId="55" fillId="0" borderId="0" xfId="0" applyFont="1" applyFill="1" applyBorder="1" applyAlignment="1">
      <alignment horizontal="left" vertical="center"/>
    </xf>
    <xf numFmtId="0" fontId="0" fillId="0" borderId="11" xfId="0" applyFont="1" applyFill="1" applyBorder="1" applyAlignment="1">
      <alignment horizontal="center" vertical="center"/>
    </xf>
    <xf numFmtId="0" fontId="57" fillId="0" borderId="13" xfId="0" applyFont="1" applyFill="1" applyBorder="1" applyAlignment="1">
      <alignment horizontal="left" vertical="center"/>
    </xf>
    <xf numFmtId="178" fontId="22" fillId="0" borderId="0" xfId="0" applyNumberFormat="1" applyFont="1" applyBorder="1">
      <alignment vertical="center"/>
    </xf>
    <xf numFmtId="0" fontId="0" fillId="0" borderId="0" xfId="0" applyFill="1" applyBorder="1" applyAlignment="1">
      <alignment horizontal="left" vertical="center"/>
    </xf>
    <xf numFmtId="0" fontId="15" fillId="3" borderId="1" xfId="0" applyFont="1" applyFill="1" applyBorder="1" applyAlignment="1">
      <alignment horizontal="right" vertical="center"/>
    </xf>
    <xf numFmtId="178" fontId="26" fillId="3" borderId="0" xfId="0" applyNumberFormat="1" applyFont="1" applyFill="1" applyBorder="1">
      <alignment vertical="center"/>
    </xf>
    <xf numFmtId="178" fontId="0" fillId="0" borderId="5" xfId="0" applyNumberFormat="1" applyBorder="1">
      <alignment vertical="center"/>
    </xf>
    <xf numFmtId="0" fontId="50" fillId="0" borderId="0" xfId="0" applyFont="1" applyFill="1" applyBorder="1" applyAlignment="1">
      <alignment horizontal="right" vertical="center"/>
    </xf>
    <xf numFmtId="177" fontId="54" fillId="0" borderId="0" xfId="0" applyNumberFormat="1" applyFont="1">
      <alignment vertical="center"/>
    </xf>
    <xf numFmtId="0" fontId="24" fillId="0" borderId="0" xfId="0" applyFont="1" applyFill="1" applyBorder="1" applyAlignment="1">
      <alignment horizontal="right" vertical="center"/>
    </xf>
    <xf numFmtId="178" fontId="37" fillId="3" borderId="10" xfId="0" applyNumberFormat="1" applyFont="1" applyFill="1" applyBorder="1">
      <alignment vertical="center"/>
    </xf>
    <xf numFmtId="0" fontId="24" fillId="0" borderId="0" xfId="0" applyFont="1" applyFill="1" applyBorder="1" applyAlignment="1">
      <alignment horizontal="left" vertical="center"/>
    </xf>
    <xf numFmtId="0" fontId="15" fillId="4" borderId="10" xfId="0" applyFont="1" applyFill="1" applyBorder="1" applyAlignment="1">
      <alignment horizontal="right" vertical="center"/>
    </xf>
    <xf numFmtId="178" fontId="26" fillId="4" borderId="6" xfId="0" applyNumberFormat="1" applyFont="1" applyFill="1" applyBorder="1">
      <alignment vertical="center"/>
    </xf>
    <xf numFmtId="178" fontId="0" fillId="0" borderId="8" xfId="0" applyNumberFormat="1" applyBorder="1">
      <alignment vertical="center"/>
    </xf>
    <xf numFmtId="2" fontId="56" fillId="3" borderId="0" xfId="0" applyNumberFormat="1" applyFont="1" applyFill="1" applyBorder="1">
      <alignment vertical="center"/>
    </xf>
    <xf numFmtId="0" fontId="30" fillId="0" borderId="0" xfId="0" applyFont="1" applyFill="1" applyBorder="1" applyAlignment="1">
      <alignment horizontal="left" vertical="center"/>
    </xf>
    <xf numFmtId="2" fontId="58" fillId="0" borderId="0" xfId="0" applyNumberFormat="1" applyFont="1">
      <alignment vertical="center"/>
    </xf>
    <xf numFmtId="178" fontId="59" fillId="4" borderId="11" xfId="0" applyNumberFormat="1" applyFont="1" applyFill="1" applyBorder="1">
      <alignment vertical="center"/>
    </xf>
    <xf numFmtId="0" fontId="15" fillId="0" borderId="0" xfId="0" applyFont="1" applyFill="1" applyBorder="1" applyAlignment="1">
      <alignment horizontal="right" vertical="center"/>
    </xf>
    <xf numFmtId="0" fontId="44" fillId="0" borderId="0" xfId="0" applyFont="1" applyBorder="1" applyAlignment="1">
      <alignment horizontal="center" vertical="center"/>
    </xf>
    <xf numFmtId="178" fontId="0" fillId="0" borderId="0" xfId="0" applyNumberFormat="1" applyFont="1" applyFill="1" applyBorder="1">
      <alignment vertical="center"/>
    </xf>
    <xf numFmtId="0" fontId="55" fillId="0" borderId="0" xfId="0" applyFont="1" applyAlignment="1">
      <alignment horizontal="left" vertical="center"/>
    </xf>
    <xf numFmtId="178" fontId="22" fillId="0" borderId="0" xfId="0" applyNumberFormat="1" applyFont="1">
      <alignment vertical="center"/>
    </xf>
    <xf numFmtId="178" fontId="26" fillId="0" borderId="3" xfId="0" applyNumberFormat="1" applyFont="1" applyFill="1" applyBorder="1">
      <alignment vertical="center"/>
    </xf>
    <xf numFmtId="184" fontId="22" fillId="0" borderId="0" xfId="0" applyNumberFormat="1" applyFont="1" applyAlignment="1">
      <alignment horizontal="right" vertical="center"/>
    </xf>
    <xf numFmtId="2" fontId="26" fillId="0" borderId="0" xfId="0" applyNumberFormat="1" applyFont="1" applyBorder="1">
      <alignment vertical="center"/>
    </xf>
    <xf numFmtId="178" fontId="59" fillId="0" borderId="0" xfId="0" applyNumberFormat="1" applyFont="1" applyFill="1">
      <alignment vertical="center"/>
    </xf>
    <xf numFmtId="178" fontId="15" fillId="3" borderId="16" xfId="0" applyNumberFormat="1" applyFont="1" applyFill="1" applyBorder="1">
      <alignment vertical="center"/>
    </xf>
    <xf numFmtId="0" fontId="15" fillId="0" borderId="18" xfId="0" applyFont="1" applyBorder="1">
      <alignment vertical="center"/>
    </xf>
    <xf numFmtId="0" fontId="0" fillId="0" borderId="15" xfId="0" applyFont="1" applyFill="1" applyBorder="1" applyAlignment="1">
      <alignment horizontal="left" vertical="center"/>
    </xf>
    <xf numFmtId="2" fontId="50" fillId="0" borderId="0" xfId="0" applyNumberFormat="1" applyFont="1">
      <alignment vertical="center"/>
    </xf>
    <xf numFmtId="0" fontId="15" fillId="0" borderId="19" xfId="0" applyFont="1" applyBorder="1" applyAlignment="1">
      <alignment horizontal="center" vertical="center"/>
    </xf>
    <xf numFmtId="0" fontId="15" fillId="0" borderId="9" xfId="0" applyFont="1" applyBorder="1" applyAlignment="1">
      <alignment horizontal="center" vertical="center"/>
    </xf>
    <xf numFmtId="0" fontId="15" fillId="0" borderId="20" xfId="0" applyFont="1" applyBorder="1" applyAlignment="1">
      <alignment horizontal="center" vertical="center"/>
    </xf>
    <xf numFmtId="0" fontId="15" fillId="0" borderId="21" xfId="0" applyFont="1" applyBorder="1" applyAlignment="1">
      <alignment horizontal="center" vertical="center"/>
    </xf>
    <xf numFmtId="0" fontId="0" fillId="0" borderId="5" xfId="0" applyFont="1" applyFill="1" applyBorder="1" applyAlignment="1">
      <alignment horizontal="left" vertical="center"/>
    </xf>
    <xf numFmtId="0" fontId="22" fillId="0" borderId="22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15" fillId="0" borderId="23" xfId="0" applyFont="1" applyBorder="1" applyAlignment="1">
      <alignment horizontal="center" vertical="center"/>
    </xf>
    <xf numFmtId="0" fontId="15" fillId="0" borderId="24" xfId="0" applyFont="1" applyBorder="1" applyAlignment="1">
      <alignment horizontal="center" vertical="center"/>
    </xf>
    <xf numFmtId="0" fontId="0" fillId="0" borderId="5" xfId="0" applyFill="1" applyBorder="1" applyAlignment="1">
      <alignment horizontal="left" vertical="center"/>
    </xf>
    <xf numFmtId="0" fontId="22" fillId="0" borderId="0" xfId="0" applyFont="1" applyAlignment="1">
      <alignment horizontal="left" vertical="center"/>
    </xf>
    <xf numFmtId="182" fontId="60" fillId="0" borderId="19" xfId="0" applyNumberFormat="1" applyFont="1" applyBorder="1" applyAlignment="1">
      <alignment horizontal="right" vertical="center"/>
    </xf>
    <xf numFmtId="178" fontId="43" fillId="0" borderId="9" xfId="0" applyNumberFormat="1" applyFont="1" applyFill="1" applyBorder="1" applyAlignment="1">
      <alignment horizontal="center" vertical="center"/>
    </xf>
    <xf numFmtId="178" fontId="61" fillId="0" borderId="9" xfId="0" applyNumberFormat="1" applyFont="1" applyBorder="1" applyAlignment="1">
      <alignment horizontal="center" vertical="center"/>
    </xf>
    <xf numFmtId="178" fontId="61" fillId="0" borderId="20" xfId="0" applyNumberFormat="1" applyFont="1" applyBorder="1" applyAlignment="1">
      <alignment horizontal="center" vertical="center"/>
    </xf>
    <xf numFmtId="178" fontId="43" fillId="0" borderId="21" xfId="0" applyNumberFormat="1" applyFont="1" applyBorder="1" applyAlignment="1">
      <alignment horizontal="center" vertical="center"/>
    </xf>
    <xf numFmtId="178" fontId="25" fillId="0" borderId="6" xfId="0" applyNumberFormat="1" applyFont="1" applyFill="1" applyBorder="1">
      <alignment vertical="center"/>
    </xf>
    <xf numFmtId="0" fontId="0" fillId="0" borderId="8" xfId="0" applyFont="1" applyFill="1" applyBorder="1" applyAlignment="1">
      <alignment horizontal="left" vertical="center"/>
    </xf>
    <xf numFmtId="0" fontId="22" fillId="0" borderId="9" xfId="0" applyFont="1" applyBorder="1" applyAlignment="1">
      <alignment horizontal="center" vertical="center"/>
    </xf>
    <xf numFmtId="0" fontId="22" fillId="0" borderId="3" xfId="0" applyFont="1" applyBorder="1" applyAlignment="1">
      <alignment horizontal="left" vertical="center"/>
    </xf>
    <xf numFmtId="0" fontId="22" fillId="0" borderId="3" xfId="0" applyFont="1" applyBorder="1">
      <alignment vertical="center"/>
    </xf>
    <xf numFmtId="0" fontId="22" fillId="0" borderId="3" xfId="0" applyFont="1" applyBorder="1" applyAlignment="1">
      <alignment horizontal="center" vertical="center"/>
    </xf>
    <xf numFmtId="0" fontId="22" fillId="0" borderId="4" xfId="0" applyFont="1" applyBorder="1" applyAlignment="1">
      <alignment horizontal="center" vertical="center"/>
    </xf>
    <xf numFmtId="0" fontId="22" fillId="0" borderId="2" xfId="0" applyFont="1" applyBorder="1" applyAlignment="1">
      <alignment horizontal="left" vertical="center"/>
    </xf>
    <xf numFmtId="0" fontId="22" fillId="0" borderId="3" xfId="0" applyFont="1" applyBorder="1" applyAlignment="1">
      <alignment horizontal="right" vertical="center"/>
    </xf>
    <xf numFmtId="0" fontId="22" fillId="0" borderId="2" xfId="0" applyFont="1" applyBorder="1">
      <alignment vertical="center"/>
    </xf>
    <xf numFmtId="0" fontId="0" fillId="0" borderId="15" xfId="0" applyBorder="1">
      <alignment vertical="center"/>
    </xf>
    <xf numFmtId="184" fontId="15" fillId="0" borderId="22" xfId="0" applyNumberFormat="1" applyFont="1" applyBorder="1" applyAlignment="1">
      <alignment horizontal="right" vertical="center"/>
    </xf>
    <xf numFmtId="178" fontId="37" fillId="0" borderId="10" xfId="0" applyNumberFormat="1" applyFont="1" applyBorder="1" applyAlignment="1">
      <alignment horizontal="center" vertical="center"/>
    </xf>
    <xf numFmtId="179" fontId="62" fillId="0" borderId="10" xfId="92" applyNumberFormat="1" applyFont="1" applyBorder="1" applyAlignment="1">
      <alignment horizontal="center" vertical="center"/>
    </xf>
    <xf numFmtId="179" fontId="62" fillId="0" borderId="23" xfId="92" applyNumberFormat="1" applyFont="1" applyBorder="1" applyAlignment="1">
      <alignment horizontal="center" vertical="center"/>
    </xf>
    <xf numFmtId="178" fontId="37" fillId="0" borderId="24" xfId="0" applyNumberFormat="1" applyFont="1" applyBorder="1" applyAlignment="1">
      <alignment horizontal="center" vertical="center"/>
    </xf>
    <xf numFmtId="0" fontId="22" fillId="0" borderId="10" xfId="0" applyFont="1" applyBorder="1" applyAlignment="1">
      <alignment horizontal="center" vertical="center"/>
    </xf>
    <xf numFmtId="0" fontId="22" fillId="0" borderId="6" xfId="0" applyFont="1" applyBorder="1">
      <alignment vertical="center"/>
    </xf>
    <xf numFmtId="0" fontId="22" fillId="0" borderId="7" xfId="0" applyFont="1" applyBorder="1" applyAlignment="1">
      <alignment horizontal="center" vertical="center"/>
    </xf>
    <xf numFmtId="0" fontId="15" fillId="0" borderId="14" xfId="0" applyFont="1" applyBorder="1" applyAlignment="1">
      <alignment horizontal="left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184" fontId="22" fillId="0" borderId="1" xfId="0" applyNumberFormat="1" applyFont="1" applyBorder="1" applyAlignment="1">
      <alignment horizontal="right" vertical="center"/>
    </xf>
    <xf numFmtId="177" fontId="22" fillId="0" borderId="0" xfId="0" applyNumberFormat="1" applyFont="1" applyBorder="1" applyAlignment="1">
      <alignment horizontal="right" vertical="center"/>
    </xf>
    <xf numFmtId="2" fontId="22" fillId="0" borderId="0" xfId="0" applyNumberFormat="1" applyFont="1" applyBorder="1" applyAlignment="1">
      <alignment horizontal="right" vertical="center"/>
    </xf>
    <xf numFmtId="2" fontId="22" fillId="0" borderId="5" xfId="0" applyNumberFormat="1" applyFont="1" applyBorder="1" applyAlignment="1">
      <alignment horizontal="right" vertical="center"/>
    </xf>
    <xf numFmtId="177" fontId="22" fillId="0" borderId="14" xfId="0" applyNumberFormat="1" applyFont="1" applyBorder="1" applyAlignment="1">
      <alignment horizontal="right" vertical="center"/>
    </xf>
    <xf numFmtId="177" fontId="22" fillId="0" borderId="5" xfId="0" applyNumberFormat="1" applyFont="1" applyBorder="1" applyAlignment="1">
      <alignment horizontal="right" vertical="center"/>
    </xf>
    <xf numFmtId="0" fontId="0" fillId="0" borderId="7" xfId="0" applyBorder="1">
      <alignment vertical="center"/>
    </xf>
    <xf numFmtId="0" fontId="0" fillId="0" borderId="6" xfId="0" applyBorder="1">
      <alignment vertical="center"/>
    </xf>
    <xf numFmtId="177" fontId="23" fillId="0" borderId="22" xfId="0" applyNumberFormat="1" applyFont="1" applyBorder="1">
      <alignment vertical="center"/>
    </xf>
    <xf numFmtId="177" fontId="23" fillId="0" borderId="10" xfId="0" applyNumberFormat="1" applyFont="1" applyBorder="1">
      <alignment vertical="center"/>
    </xf>
    <xf numFmtId="177" fontId="23" fillId="0" borderId="23" xfId="0" applyNumberFormat="1" applyFont="1" applyBorder="1">
      <alignment vertical="center"/>
    </xf>
    <xf numFmtId="177" fontId="23" fillId="0" borderId="24" xfId="0" applyNumberFormat="1" applyFont="1" applyBorder="1">
      <alignment vertical="center"/>
    </xf>
    <xf numFmtId="178" fontId="26" fillId="0" borderId="6" xfId="0" applyNumberFormat="1" applyFont="1" applyBorder="1">
      <alignment vertical="center"/>
    </xf>
    <xf numFmtId="0" fontId="15" fillId="0" borderId="2" xfId="0" applyFont="1" applyBorder="1" applyAlignment="1">
      <alignment horizontal="left" vertical="center"/>
    </xf>
    <xf numFmtId="0" fontId="0" fillId="0" borderId="3" xfId="0" applyBorder="1">
      <alignment vertical="center"/>
    </xf>
    <xf numFmtId="0" fontId="17" fillId="0" borderId="19" xfId="0" applyFont="1" applyBorder="1" applyAlignment="1">
      <alignment horizontal="center" vertical="center"/>
    </xf>
    <xf numFmtId="0" fontId="17" fillId="0" borderId="9" xfId="0" applyFont="1" applyBorder="1" applyAlignment="1">
      <alignment horizontal="center" vertical="center"/>
    </xf>
    <xf numFmtId="0" fontId="17" fillId="0" borderId="20" xfId="0" applyFont="1" applyBorder="1" applyAlignment="1">
      <alignment horizontal="center" vertical="center"/>
    </xf>
    <xf numFmtId="0" fontId="17" fillId="0" borderId="21" xfId="0" applyFont="1" applyBorder="1" applyAlignment="1">
      <alignment horizontal="center" vertical="center"/>
    </xf>
    <xf numFmtId="184" fontId="22" fillId="3" borderId="1" xfId="0" applyNumberFormat="1" applyFont="1" applyFill="1" applyBorder="1" applyAlignment="1">
      <alignment horizontal="right" vertical="center"/>
    </xf>
    <xf numFmtId="177" fontId="56" fillId="0" borderId="0" xfId="0" applyNumberFormat="1" applyFont="1" applyBorder="1" applyAlignment="1">
      <alignment horizontal="right" vertical="center"/>
    </xf>
    <xf numFmtId="177" fontId="45" fillId="0" borderId="14" xfId="0" quotePrefix="1" applyNumberFormat="1" applyFont="1" applyBorder="1" applyAlignment="1">
      <alignment horizontal="center" vertical="center"/>
    </xf>
    <xf numFmtId="177" fontId="45" fillId="0" borderId="0" xfId="0" quotePrefix="1" applyNumberFormat="1" applyFont="1" applyBorder="1" applyAlignment="1">
      <alignment horizontal="center" vertical="center"/>
    </xf>
    <xf numFmtId="177" fontId="45" fillId="0" borderId="5" xfId="0" quotePrefix="1" applyNumberFormat="1" applyFont="1" applyBorder="1" applyAlignment="1">
      <alignment horizontal="center" vertical="center"/>
    </xf>
    <xf numFmtId="184" fontId="22" fillId="0" borderId="10" xfId="0" applyNumberFormat="1" applyFont="1" applyBorder="1" applyAlignment="1">
      <alignment horizontal="right" vertical="center"/>
    </xf>
    <xf numFmtId="177" fontId="22" fillId="0" borderId="6" xfId="0" applyNumberFormat="1" applyFont="1" applyBorder="1" applyAlignment="1">
      <alignment horizontal="right" vertical="center"/>
    </xf>
    <xf numFmtId="2" fontId="22" fillId="0" borderId="6" xfId="0" applyNumberFormat="1" applyFont="1" applyBorder="1" applyAlignment="1">
      <alignment horizontal="right" vertical="center"/>
    </xf>
    <xf numFmtId="2" fontId="22" fillId="0" borderId="8" xfId="0" applyNumberFormat="1" applyFont="1" applyBorder="1" applyAlignment="1">
      <alignment horizontal="right" vertical="center"/>
    </xf>
    <xf numFmtId="177" fontId="22" fillId="0" borderId="7" xfId="0" applyNumberFormat="1" applyFont="1" applyBorder="1" applyAlignment="1">
      <alignment horizontal="right" vertical="center"/>
    </xf>
    <xf numFmtId="177" fontId="22" fillId="0" borderId="8" xfId="0" applyNumberFormat="1" applyFont="1" applyBorder="1" applyAlignment="1">
      <alignment horizontal="right" vertical="center"/>
    </xf>
    <xf numFmtId="0" fontId="22" fillId="0" borderId="15" xfId="0" applyFont="1" applyBorder="1" applyAlignment="1">
      <alignment horizontal="center" vertical="center"/>
    </xf>
    <xf numFmtId="0" fontId="22" fillId="0" borderId="12" xfId="0" applyFont="1" applyBorder="1" applyAlignment="1">
      <alignment horizontal="center" vertical="center"/>
    </xf>
    <xf numFmtId="0" fontId="22" fillId="0" borderId="13" xfId="0" applyFont="1" applyBorder="1" applyAlignment="1">
      <alignment horizontal="center" vertical="center"/>
    </xf>
    <xf numFmtId="0" fontId="22" fillId="0" borderId="0" xfId="0" applyFont="1" applyBorder="1" applyAlignment="1">
      <alignment horizontal="center" vertical="center"/>
    </xf>
    <xf numFmtId="0" fontId="0" fillId="0" borderId="25" xfId="0" applyBorder="1">
      <alignment vertical="center"/>
    </xf>
    <xf numFmtId="0" fontId="17" fillId="0" borderId="1" xfId="0" applyFont="1" applyBorder="1" applyAlignment="1">
      <alignment horizontal="center" vertical="center"/>
    </xf>
    <xf numFmtId="0" fontId="17" fillId="0" borderId="26" xfId="0" applyFont="1" applyBorder="1" applyAlignment="1">
      <alignment horizontal="center" vertical="center"/>
    </xf>
    <xf numFmtId="0" fontId="17" fillId="0" borderId="27" xfId="0" applyFont="1" applyBorder="1" applyAlignment="1">
      <alignment horizontal="center" vertical="center"/>
    </xf>
    <xf numFmtId="177" fontId="32" fillId="0" borderId="14" xfId="0" applyNumberFormat="1" applyFont="1" applyBorder="1" applyAlignment="1">
      <alignment horizontal="right" vertical="center"/>
    </xf>
    <xf numFmtId="177" fontId="32" fillId="0" borderId="0" xfId="0" applyNumberFormat="1" applyFont="1" applyBorder="1" applyAlignment="1">
      <alignment horizontal="right" vertical="center"/>
    </xf>
    <xf numFmtId="177" fontId="32" fillId="0" borderId="5" xfId="0" applyNumberFormat="1" applyFont="1" applyBorder="1" applyAlignment="1">
      <alignment horizontal="right" vertical="center"/>
    </xf>
    <xf numFmtId="0" fontId="23" fillId="0" borderId="28" xfId="0" applyFont="1" applyBorder="1">
      <alignment vertical="center"/>
    </xf>
    <xf numFmtId="177" fontId="23" fillId="0" borderId="29" xfId="0" applyNumberFormat="1" applyFont="1" applyBorder="1">
      <alignment vertical="center"/>
    </xf>
    <xf numFmtId="177" fontId="23" fillId="0" borderId="30" xfId="0" applyNumberFormat="1" applyFont="1" applyBorder="1">
      <alignment vertical="center"/>
    </xf>
    <xf numFmtId="177" fontId="23" fillId="0" borderId="31" xfId="0" applyNumberFormat="1" applyFont="1" applyBorder="1">
      <alignment vertical="center"/>
    </xf>
    <xf numFmtId="186" fontId="22" fillId="0" borderId="7" xfId="0" applyNumberFormat="1" applyFont="1" applyBorder="1" applyAlignment="1">
      <alignment horizontal="right" vertical="center"/>
    </xf>
    <xf numFmtId="186" fontId="22" fillId="0" borderId="6" xfId="0" applyNumberFormat="1" applyFont="1" applyBorder="1" applyAlignment="1">
      <alignment horizontal="right" vertical="center"/>
    </xf>
    <xf numFmtId="186" fontId="22" fillId="0" borderId="8" xfId="0" applyNumberFormat="1" applyFont="1" applyBorder="1" applyAlignment="1">
      <alignment horizontal="right" vertical="center"/>
    </xf>
    <xf numFmtId="186" fontId="22" fillId="0" borderId="0" xfId="0" applyNumberFormat="1" applyFont="1" applyBorder="1" applyAlignment="1">
      <alignment horizontal="right" vertical="center"/>
    </xf>
    <xf numFmtId="183" fontId="22" fillId="0" borderId="1" xfId="0" applyNumberFormat="1" applyFont="1" applyBorder="1" applyAlignment="1">
      <alignment horizontal="right" vertical="center"/>
    </xf>
    <xf numFmtId="183" fontId="22" fillId="3" borderId="1" xfId="0" applyNumberFormat="1" applyFont="1" applyFill="1" applyBorder="1" applyAlignment="1">
      <alignment horizontal="right" vertical="center"/>
    </xf>
    <xf numFmtId="183" fontId="22" fillId="0" borderId="10" xfId="0" applyNumberFormat="1" applyFont="1" applyBorder="1" applyAlignment="1">
      <alignment horizontal="right" vertical="center"/>
    </xf>
    <xf numFmtId="11" fontId="32" fillId="0" borderId="14" xfId="0" applyNumberFormat="1" applyFont="1" applyBorder="1" applyAlignment="1">
      <alignment horizontal="right" vertical="center"/>
    </xf>
    <xf numFmtId="11" fontId="32" fillId="0" borderId="0" xfId="0" applyNumberFormat="1" applyFont="1" applyBorder="1" applyAlignment="1">
      <alignment horizontal="right" vertical="center"/>
    </xf>
    <xf numFmtId="11" fontId="32" fillId="0" borderId="5" xfId="0" applyNumberFormat="1" applyFont="1" applyBorder="1" applyAlignment="1">
      <alignment horizontal="right" vertical="center"/>
    </xf>
    <xf numFmtId="184" fontId="54" fillId="3" borderId="1" xfId="0" applyNumberFormat="1" applyFont="1" applyFill="1" applyBorder="1" applyAlignment="1">
      <alignment horizontal="right" vertical="center"/>
    </xf>
    <xf numFmtId="177" fontId="32" fillId="0" borderId="1" xfId="0" applyNumberFormat="1" applyFont="1" applyBorder="1" applyAlignment="1">
      <alignment horizontal="right" vertical="center"/>
    </xf>
    <xf numFmtId="186" fontId="22" fillId="0" borderId="10" xfId="0" applyNumberFormat="1" applyFont="1" applyBorder="1" applyAlignment="1">
      <alignment horizontal="right" vertical="center"/>
    </xf>
    <xf numFmtId="178" fontId="59" fillId="0" borderId="0" xfId="0" applyNumberFormat="1" applyFont="1" applyFill="1" applyBorder="1">
      <alignment vertical="center"/>
    </xf>
    <xf numFmtId="178" fontId="15" fillId="0" borderId="0" xfId="0" applyNumberFormat="1" applyFont="1" applyFill="1" applyBorder="1">
      <alignment vertical="center"/>
    </xf>
    <xf numFmtId="182" fontId="60" fillId="0" borderId="0" xfId="0" applyNumberFormat="1" applyFont="1" applyFill="1" applyBorder="1" applyAlignment="1">
      <alignment horizontal="right" vertical="center"/>
    </xf>
    <xf numFmtId="0" fontId="63" fillId="0" borderId="0" xfId="0" applyFont="1" applyFill="1" applyBorder="1">
      <alignment vertical="center"/>
    </xf>
    <xf numFmtId="0" fontId="0" fillId="0" borderId="0" xfId="0" applyFill="1" applyBorder="1" applyAlignment="1">
      <alignment horizontal="center" vertical="center"/>
    </xf>
    <xf numFmtId="184" fontId="15" fillId="0" borderId="0" xfId="0" applyNumberFormat="1" applyFont="1" applyFill="1" applyBorder="1" applyAlignment="1">
      <alignment horizontal="right" vertical="center"/>
    </xf>
    <xf numFmtId="2" fontId="60" fillId="0" borderId="0" xfId="0" applyNumberFormat="1" applyFont="1" applyFill="1" applyBorder="1" applyAlignment="1">
      <alignment horizontal="center" vertical="center"/>
    </xf>
    <xf numFmtId="179" fontId="62" fillId="0" borderId="0" xfId="92" applyNumberFormat="1" applyFont="1" applyFill="1" applyBorder="1">
      <alignment vertical="center"/>
    </xf>
    <xf numFmtId="178" fontId="0" fillId="0" borderId="0" xfId="0" applyNumberForma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left" vertical="center"/>
    </xf>
    <xf numFmtId="0" fontId="23" fillId="0" borderId="0" xfId="0" applyFont="1" applyFill="1" applyBorder="1">
      <alignment vertical="center"/>
    </xf>
    <xf numFmtId="185" fontId="53" fillId="0" borderId="0" xfId="0" applyNumberFormat="1" applyFont="1" applyBorder="1" applyAlignment="1">
      <alignment horizontal="left" vertical="center"/>
    </xf>
    <xf numFmtId="0" fontId="15" fillId="0" borderId="16" xfId="0" applyFont="1" applyBorder="1" applyAlignment="1">
      <alignment horizontal="center" vertical="center"/>
    </xf>
    <xf numFmtId="0" fontId="15" fillId="0" borderId="17" xfId="0" applyFont="1" applyBorder="1" applyAlignment="1">
      <alignment horizontal="center" vertical="center"/>
    </xf>
    <xf numFmtId="0" fontId="15" fillId="0" borderId="18" xfId="0" applyFont="1" applyBorder="1" applyAlignment="1">
      <alignment horizontal="center" vertical="center"/>
    </xf>
    <xf numFmtId="187" fontId="22" fillId="0" borderId="0" xfId="0" applyNumberFormat="1" applyFont="1" applyFill="1" applyBorder="1" applyAlignment="1">
      <alignment horizontal="left" vertical="center"/>
    </xf>
    <xf numFmtId="0" fontId="0" fillId="0" borderId="0" xfId="0" applyFill="1" applyBorder="1" applyAlignment="1">
      <alignment horizontal="center" vertical="center"/>
    </xf>
  </cellXfs>
  <cellStyles count="93">
    <cellStyle name="Normal_calc" xfId="1"/>
    <cellStyle name="パーセント 2" xfId="13"/>
    <cellStyle name="桁区切り" xfId="92" builtinId="6"/>
    <cellStyle name="桁区切り 2" xfId="9"/>
    <cellStyle name="桁区切り 2 2" xfId="22"/>
    <cellStyle name="桁区切り 2 2 2" xfId="45"/>
    <cellStyle name="桁区切り 2 2 3" xfId="53"/>
    <cellStyle name="桁区切り 2 2 4" xfId="54"/>
    <cellStyle name="桁区切り 2 3" xfId="24"/>
    <cellStyle name="桁区切り 2 4" xfId="28"/>
    <cellStyle name="桁区切り 2 5" xfId="39"/>
    <cellStyle name="桁区切り 2 6" xfId="55"/>
    <cellStyle name="桁区切り 2 7" xfId="56"/>
    <cellStyle name="標準" xfId="0" builtinId="0"/>
    <cellStyle name="標準 10" xfId="16"/>
    <cellStyle name="標準 2" xfId="2"/>
    <cellStyle name="標準 2 2" xfId="14"/>
    <cellStyle name="標準 2 3" xfId="29"/>
    <cellStyle name="標準 2 3 2" xfId="49"/>
    <cellStyle name="標準 2 3 3" xfId="57"/>
    <cellStyle name="標準 2 3 4" xfId="58"/>
    <cellStyle name="標準 2 4" xfId="89"/>
    <cellStyle name="標準 3" xfId="3"/>
    <cellStyle name="標準 3 2" xfId="12"/>
    <cellStyle name="標準 3 2 2" xfId="17"/>
    <cellStyle name="標準 3 2 3" xfId="40"/>
    <cellStyle name="標準 3 2 4" xfId="59"/>
    <cellStyle name="標準 3 2 5" xfId="60"/>
    <cellStyle name="標準 3 2 6" xfId="87"/>
    <cellStyle name="標準 3 2 7" xfId="90"/>
    <cellStyle name="標準 3 3" xfId="15"/>
    <cellStyle name="標準 3 3 2" xfId="41"/>
    <cellStyle name="標準 3 3 3" xfId="61"/>
    <cellStyle name="標準 3 3 4" xfId="62"/>
    <cellStyle name="標準 3 3 5" xfId="88"/>
    <cellStyle name="標準 3 3 6" xfId="91"/>
    <cellStyle name="標準 3 4" xfId="18"/>
    <cellStyle name="標準 3 5" xfId="30"/>
    <cellStyle name="標準 3 5 2" xfId="50"/>
    <cellStyle name="標準 3 5 3" xfId="63"/>
    <cellStyle name="標準 3 5 4" xfId="64"/>
    <cellStyle name="標準 4" xfId="4"/>
    <cellStyle name="標準 4 2" xfId="31"/>
    <cellStyle name="標準 4 2 2" xfId="51"/>
    <cellStyle name="標準 4 2 3" xfId="65"/>
    <cellStyle name="標準 4 2 4" xfId="66"/>
    <cellStyle name="標準 5" xfId="5"/>
    <cellStyle name="標準 5 2" xfId="10"/>
    <cellStyle name="標準 5 3" xfId="23"/>
    <cellStyle name="標準 5 4" xfId="32"/>
    <cellStyle name="標準 5 4 2" xfId="52"/>
    <cellStyle name="標準 5 4 3" xfId="67"/>
    <cellStyle name="標準 5 4 4" xfId="68"/>
    <cellStyle name="標準 6" xfId="7"/>
    <cellStyle name="標準 6 2" xfId="20"/>
    <cellStyle name="標準 6 2 2" xfId="43"/>
    <cellStyle name="標準 6 2 3" xfId="69"/>
    <cellStyle name="標準 6 2 4" xfId="70"/>
    <cellStyle name="標準 6 3" xfId="25"/>
    <cellStyle name="標準 6 3 2" xfId="46"/>
    <cellStyle name="標準 6 3 3" xfId="71"/>
    <cellStyle name="標準 6 3 4" xfId="72"/>
    <cellStyle name="標準 6 4" xfId="33"/>
    <cellStyle name="標準 6 5" xfId="37"/>
    <cellStyle name="標準 6 6" xfId="73"/>
    <cellStyle name="標準 6 7" xfId="74"/>
    <cellStyle name="標準 7" xfId="6"/>
    <cellStyle name="標準 7 2" xfId="19"/>
    <cellStyle name="標準 7 2 2" xfId="42"/>
    <cellStyle name="標準 7 2 3" xfId="75"/>
    <cellStyle name="標準 7 2 4" xfId="76"/>
    <cellStyle name="標準 7 3" xfId="26"/>
    <cellStyle name="標準 7 3 2" xfId="47"/>
    <cellStyle name="標準 7 3 3" xfId="77"/>
    <cellStyle name="標準 7 3 4" xfId="78"/>
    <cellStyle name="標準 7 4" xfId="34"/>
    <cellStyle name="標準 7 5" xfId="36"/>
    <cellStyle name="標準 7 6" xfId="79"/>
    <cellStyle name="標準 7 7" xfId="80"/>
    <cellStyle name="標準 8" xfId="8"/>
    <cellStyle name="標準 8 2" xfId="21"/>
    <cellStyle name="標準 8 2 2" xfId="44"/>
    <cellStyle name="標準 8 2 3" xfId="81"/>
    <cellStyle name="標準 8 2 4" xfId="82"/>
    <cellStyle name="標準 8 3" xfId="27"/>
    <cellStyle name="標準 8 3 2" xfId="48"/>
    <cellStyle name="標準 8 3 3" xfId="83"/>
    <cellStyle name="標準 8 3 4" xfId="84"/>
    <cellStyle name="標準 8 4" xfId="35"/>
    <cellStyle name="標準 8 5" xfId="38"/>
    <cellStyle name="標準 8 6" xfId="85"/>
    <cellStyle name="標準 8 7" xfId="86"/>
    <cellStyle name="標準 9" xfId="11"/>
  </cellStyles>
  <dxfs count="0"/>
  <tableStyles count="0" defaultTableStyle="TableStyleMedium9" defaultPivotStyle="PivotStyleLight16"/>
  <colors>
    <mruColors>
      <color rgb="FF0000FF"/>
      <color rgb="FFFF00FF"/>
      <color rgb="FFFFFFCC"/>
      <color rgb="FFCCFFCC"/>
      <color rgb="FF008000"/>
      <color rgb="FFFF6600"/>
      <color rgb="FFFFCCCC"/>
      <color rgb="FFCCFF99"/>
      <color rgb="FFFFCCFF"/>
      <color rgb="FF66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BPkW_Si!$C$79</c:f>
          <c:strCache>
            <c:ptCount val="1"/>
            <c:pt idx="0">
              <c:v>LETt wid. in Si</c:v>
            </c:pt>
          </c:strCache>
        </c:strRef>
      </c:tx>
      <c:layout>
        <c:manualLayout>
          <c:xMode val="edge"/>
          <c:yMode val="edge"/>
          <c:x val="8.1624923689036274E-2"/>
          <c:y val="5.8113042459892281E-2"/>
        </c:manualLayout>
      </c:layout>
      <c:overlay val="0"/>
      <c:txPr>
        <a:bodyPr/>
        <a:lstStyle/>
        <a:p>
          <a:pPr>
            <a:defRPr sz="1400">
              <a:latin typeface="+mn-ea"/>
              <a:ea typeface="+mn-ea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6.1844212962962962E-2"/>
          <c:y val="5.4289891946211082E-2"/>
          <c:w val="0.8070842592592592"/>
          <c:h val="0.84191597222222236"/>
        </c:manualLayout>
      </c:layout>
      <c:scatterChart>
        <c:scatterStyle val="smoothMarker"/>
        <c:varyColors val="0"/>
        <c:ser>
          <c:idx val="0"/>
          <c:order val="0"/>
          <c:tx>
            <c:strRef>
              <c:f>BPkW_Si!$G$4</c:f>
              <c:strCache>
                <c:ptCount val="1"/>
                <c:pt idx="0">
                  <c:v>40Ar</c:v>
                </c:pt>
              </c:strCache>
            </c:strRef>
          </c:tx>
          <c:spPr>
            <a:ln w="19050">
              <a:solidFill>
                <a:srgbClr val="FF0000"/>
              </a:solidFill>
            </a:ln>
          </c:spPr>
          <c:marker>
            <c:symbol val="circle"/>
            <c:size val="3"/>
            <c:spPr>
              <a:noFill/>
              <a:ln>
                <a:solidFill>
                  <a:srgbClr val="FF0000"/>
                </a:solidFill>
              </a:ln>
            </c:spPr>
          </c:marker>
          <c:xVal>
            <c:numRef>
              <c:f>BPkW_Si!$I$21:$I$73</c:f>
              <c:numCache>
                <c:formatCode>0.00</c:formatCode>
                <c:ptCount val="53"/>
                <c:pt idx="0" formatCode="0.0">
                  <c:v>0</c:v>
                </c:pt>
                <c:pt idx="1">
                  <c:v>5.075113924050632E-3</c:v>
                </c:pt>
                <c:pt idx="2">
                  <c:v>0.43448000000000003</c:v>
                </c:pt>
                <c:pt idx="3">
                  <c:v>1.2633245667686033</c:v>
                </c:pt>
                <c:pt idx="4">
                  <c:v>2.0005877600979192</c:v>
                </c:pt>
                <c:pt idx="5">
                  <c:v>2.8191523770824864</c:v>
                </c:pt>
                <c:pt idx="6">
                  <c:v>3.6984264539372091</c:v>
                </c:pt>
                <c:pt idx="7">
                  <c:v>4.687067443978866</c:v>
                </c:pt>
                <c:pt idx="8">
                  <c:v>5.8984175365344464</c:v>
                </c:pt>
                <c:pt idx="9">
                  <c:v>6.6670735270035681</c:v>
                </c:pt>
                <c:pt idx="10">
                  <c:v>7.6475414994232995</c:v>
                </c:pt>
                <c:pt idx="11">
                  <c:v>8.1469460625579089</c:v>
                </c:pt>
                <c:pt idx="12">
                  <c:v>8.7385845242932607</c:v>
                </c:pt>
                <c:pt idx="13">
                  <c:v>9.4893046761545072</c:v>
                </c:pt>
                <c:pt idx="14">
                  <c:v>9.9920869396468071</c:v>
                </c:pt>
                <c:pt idx="15">
                  <c:v>10.631049186187534</c:v>
                </c:pt>
                <c:pt idx="16">
                  <c:v>11.490093674154375</c:v>
                </c:pt>
                <c:pt idx="17">
                  <c:v>13.7</c:v>
                </c:pt>
                <c:pt idx="18">
                  <c:v>17.907745739471139</c:v>
                </c:pt>
                <c:pt idx="19">
                  <c:v>19.786139220462861</c:v>
                </c:pt>
                <c:pt idx="20">
                  <c:v>21.462957308160792</c:v>
                </c:pt>
                <c:pt idx="21">
                  <c:v>22.834971467514787</c:v>
                </c:pt>
                <c:pt idx="22">
                  <c:v>24.112422024080001</c:v>
                </c:pt>
                <c:pt idx="23">
                  <c:v>25.075533961775328</c:v>
                </c:pt>
                <c:pt idx="24">
                  <c:v>25.994415114494707</c:v>
                </c:pt>
                <c:pt idx="25">
                  <c:v>26.967525499412485</c:v>
                </c:pt>
                <c:pt idx="26">
                  <c:v>28.173950176263251</c:v>
                </c:pt>
                <c:pt idx="27">
                  <c:v>29.383055975871599</c:v>
                </c:pt>
                <c:pt idx="28">
                  <c:v>31.854516010632882</c:v>
                </c:pt>
                <c:pt idx="29">
                  <c:v>34.460282979058455</c:v>
                </c:pt>
                <c:pt idx="30">
                  <c:v>37.185131424565967</c:v>
                </c:pt>
                <c:pt idx="31">
                  <c:v>40.14655606234043</c:v>
                </c:pt>
                <c:pt idx="32">
                  <c:v>43.28130734333417</c:v>
                </c:pt>
                <c:pt idx="33">
                  <c:v>46.636928911356584</c:v>
                </c:pt>
                <c:pt idx="34">
                  <c:v>50.334798889979396</c:v>
                </c:pt>
                <c:pt idx="35">
                  <c:v>54.213556722731795</c:v>
                </c:pt>
                <c:pt idx="36">
                  <c:v>58.531730557774615</c:v>
                </c:pt>
                <c:pt idx="37">
                  <c:v>62.944433808277324</c:v>
                </c:pt>
                <c:pt idx="38">
                  <c:v>68.103060455887288</c:v>
                </c:pt>
                <c:pt idx="39">
                  <c:v>73.533806699817433</c:v>
                </c:pt>
                <c:pt idx="40">
                  <c:v>79.426739394869116</c:v>
                </c:pt>
                <c:pt idx="41">
                  <c:v>86.076213751013711</c:v>
                </c:pt>
                <c:pt idx="42">
                  <c:v>93.371171047917031</c:v>
                </c:pt>
                <c:pt idx="43">
                  <c:v>115.31063048200691</c:v>
                </c:pt>
                <c:pt idx="44">
                  <c:v>145.01138238246446</c:v>
                </c:pt>
                <c:pt idx="45">
                  <c:v>184.90216501678302</c:v>
                </c:pt>
                <c:pt idx="46">
                  <c:v>241.72309252701169</c:v>
                </c:pt>
                <c:pt idx="47">
                  <c:v>328.00725278269135</c:v>
                </c:pt>
                <c:pt idx="48">
                  <c:v>463.64966129436374</c:v>
                </c:pt>
                <c:pt idx="49">
                  <c:v>712.62636936909985</c:v>
                </c:pt>
                <c:pt idx="50">
                  <c:v>1178.1976096577093</c:v>
                </c:pt>
                <c:pt idx="51">
                  <c:v>2249.0049847699643</c:v>
                </c:pt>
                <c:pt idx="52">
                  <c:v>5761.1772588414324</c:v>
                </c:pt>
              </c:numCache>
            </c:numRef>
          </c:xVal>
          <c:yVal>
            <c:numRef>
              <c:f>BPkW_Si!$G$21:$G$73</c:f>
              <c:numCache>
                <c:formatCode>0.00</c:formatCode>
                <c:ptCount val="53"/>
                <c:pt idx="0" formatCode="0.0">
                  <c:v>0</c:v>
                </c:pt>
                <c:pt idx="1">
                  <c:v>1.866668</c:v>
                </c:pt>
                <c:pt idx="2">
                  <c:v>3.733336</c:v>
                </c:pt>
                <c:pt idx="3">
                  <c:v>5.6000039999999993</c:v>
                </c:pt>
                <c:pt idx="4">
                  <c:v>7.466672</c:v>
                </c:pt>
                <c:pt idx="5">
                  <c:v>9.3333399999999997</c:v>
                </c:pt>
                <c:pt idx="6">
                  <c:v>11.200007999999999</c:v>
                </c:pt>
                <c:pt idx="7">
                  <c:v>13.066675999999999</c:v>
                </c:pt>
                <c:pt idx="8">
                  <c:v>14.933344</c:v>
                </c:pt>
                <c:pt idx="9">
                  <c:v>15.866677999999999</c:v>
                </c:pt>
                <c:pt idx="10">
                  <c:v>16.800011999999999</c:v>
                </c:pt>
                <c:pt idx="11">
                  <c:v>17.173345600000001</c:v>
                </c:pt>
                <c:pt idx="12">
                  <c:v>17.5466792</c:v>
                </c:pt>
                <c:pt idx="13">
                  <c:v>17.920012799999999</c:v>
                </c:pt>
                <c:pt idx="14">
                  <c:v>18.1066796</c:v>
                </c:pt>
                <c:pt idx="15">
                  <c:v>18.293346400000001</c:v>
                </c:pt>
                <c:pt idx="16">
                  <c:v>18.480013199999998</c:v>
                </c:pt>
                <c:pt idx="17">
                  <c:v>18.666679999999999</c:v>
                </c:pt>
                <c:pt idx="18">
                  <c:v>18.480013199999998</c:v>
                </c:pt>
                <c:pt idx="19">
                  <c:v>18.293346400000001</c:v>
                </c:pt>
                <c:pt idx="20">
                  <c:v>18.1066796</c:v>
                </c:pt>
                <c:pt idx="21">
                  <c:v>17.920012799999999</c:v>
                </c:pt>
                <c:pt idx="22">
                  <c:v>17.733345999999997</c:v>
                </c:pt>
                <c:pt idx="23">
                  <c:v>17.5466792</c:v>
                </c:pt>
                <c:pt idx="24">
                  <c:v>17.360012399999999</c:v>
                </c:pt>
                <c:pt idx="25">
                  <c:v>17.173345599999998</c:v>
                </c:pt>
                <c:pt idx="26">
                  <c:v>16.986678799999996</c:v>
                </c:pt>
                <c:pt idx="27">
                  <c:v>16.800011999999999</c:v>
                </c:pt>
                <c:pt idx="28">
                  <c:v>16.426678399999997</c:v>
                </c:pt>
                <c:pt idx="29">
                  <c:v>16.053344799999998</c:v>
                </c:pt>
                <c:pt idx="30">
                  <c:v>15.680011199999997</c:v>
                </c:pt>
                <c:pt idx="31">
                  <c:v>15.306677599999997</c:v>
                </c:pt>
                <c:pt idx="32">
                  <c:v>14.933343999999996</c:v>
                </c:pt>
                <c:pt idx="33">
                  <c:v>14.560010399999996</c:v>
                </c:pt>
                <c:pt idx="34">
                  <c:v>14.186676799999995</c:v>
                </c:pt>
                <c:pt idx="35">
                  <c:v>13.813343199999995</c:v>
                </c:pt>
                <c:pt idx="36">
                  <c:v>13.440009599999994</c:v>
                </c:pt>
                <c:pt idx="37">
                  <c:v>13.066675999999994</c:v>
                </c:pt>
                <c:pt idx="38">
                  <c:v>12.693342399999993</c:v>
                </c:pt>
                <c:pt idx="39">
                  <c:v>12.320008799999995</c:v>
                </c:pt>
                <c:pt idx="40">
                  <c:v>11.946675199999994</c:v>
                </c:pt>
                <c:pt idx="41">
                  <c:v>11.573341599999994</c:v>
                </c:pt>
                <c:pt idx="42">
                  <c:v>11.200007999999993</c:v>
                </c:pt>
                <c:pt idx="43">
                  <c:v>10.266673999999993</c:v>
                </c:pt>
                <c:pt idx="44">
                  <c:v>9.3333399999999926</c:v>
                </c:pt>
                <c:pt idx="45">
                  <c:v>8.4000059999999923</c:v>
                </c:pt>
                <c:pt idx="46">
                  <c:v>7.4666719999999929</c:v>
                </c:pt>
                <c:pt idx="47">
                  <c:v>6.5333379999999934</c:v>
                </c:pt>
                <c:pt idx="48">
                  <c:v>5.6000039999999931</c:v>
                </c:pt>
                <c:pt idx="49">
                  <c:v>4.6666699999999937</c:v>
                </c:pt>
                <c:pt idx="50">
                  <c:v>3.7333359999999938</c:v>
                </c:pt>
                <c:pt idx="51">
                  <c:v>2.8000019999999943</c:v>
                </c:pt>
                <c:pt idx="52">
                  <c:v>1.866667999999994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BPkW_Si!$P$4</c:f>
              <c:strCache>
                <c:ptCount val="1"/>
                <c:pt idx="0">
                  <c:v>84Kr</c:v>
                </c:pt>
              </c:strCache>
            </c:strRef>
          </c:tx>
          <c:spPr>
            <a:ln w="19050">
              <a:solidFill>
                <a:srgbClr val="0000FF"/>
              </a:solidFill>
            </a:ln>
          </c:spPr>
          <c:marker>
            <c:symbol val="none"/>
          </c:marker>
          <c:xVal>
            <c:numRef>
              <c:f>BPkW_Si!$R$21:$R$73</c:f>
              <c:numCache>
                <c:formatCode>0.0</c:formatCode>
                <c:ptCount val="53"/>
                <c:pt idx="0">
                  <c:v>0</c:v>
                </c:pt>
                <c:pt idx="1">
                  <c:v>9.1822391102873019E-3</c:v>
                </c:pt>
                <c:pt idx="2">
                  <c:v>1.6392459598853875</c:v>
                </c:pt>
                <c:pt idx="3">
                  <c:v>3.0428330061349689</c:v>
                </c:pt>
                <c:pt idx="4">
                  <c:v>4.4517452928471606</c:v>
                </c:pt>
                <c:pt idx="5">
                  <c:v>5.8197291199999999</c:v>
                </c:pt>
                <c:pt idx="6">
                  <c:v>7.2847719823189374</c:v>
                </c:pt>
                <c:pt idx="7">
                  <c:v>9.0643936494957753</c:v>
                </c:pt>
                <c:pt idx="8">
                  <c:v>11.544113240608915</c:v>
                </c:pt>
                <c:pt idx="9">
                  <c:v>13.286777320406857</c:v>
                </c:pt>
                <c:pt idx="10">
                  <c:v>15.641318902439018</c:v>
                </c:pt>
                <c:pt idx="11">
                  <c:v>16.835572620606708</c:v>
                </c:pt>
                <c:pt idx="12">
                  <c:v>18.251960882259599</c:v>
                </c:pt>
                <c:pt idx="13">
                  <c:v>20.035098241520856</c:v>
                </c:pt>
                <c:pt idx="14">
                  <c:v>21.109911093159614</c:v>
                </c:pt>
                <c:pt idx="15">
                  <c:v>22.364501312288862</c:v>
                </c:pt>
                <c:pt idx="16">
                  <c:v>23.873363563829777</c:v>
                </c:pt>
                <c:pt idx="17">
                  <c:v>25.81</c:v>
                </c:pt>
                <c:pt idx="18">
                  <c:v>34.884883747068066</c:v>
                </c:pt>
                <c:pt idx="19">
                  <c:v>39.128296020678462</c:v>
                </c:pt>
                <c:pt idx="20">
                  <c:v>42.487026640598408</c:v>
                </c:pt>
                <c:pt idx="21">
                  <c:v>45.512578230865728</c:v>
                </c:pt>
                <c:pt idx="22">
                  <c:v>48.368572898799307</c:v>
                </c:pt>
                <c:pt idx="23">
                  <c:v>51.129023793892138</c:v>
                </c:pt>
                <c:pt idx="24">
                  <c:v>53.859558034201228</c:v>
                </c:pt>
                <c:pt idx="25">
                  <c:v>56.552031578947414</c:v>
                </c:pt>
                <c:pt idx="26">
                  <c:v>59.21679369055169</c:v>
                </c:pt>
                <c:pt idx="27">
                  <c:v>61.896856585890511</c:v>
                </c:pt>
                <c:pt idx="28">
                  <c:v>67.315805628845879</c:v>
                </c:pt>
                <c:pt idx="29">
                  <c:v>72.864960048986291</c:v>
                </c:pt>
                <c:pt idx="30">
                  <c:v>78.611087440468125</c:v>
                </c:pt>
                <c:pt idx="31">
                  <c:v>84.642282467909382</c:v>
                </c:pt>
                <c:pt idx="32">
                  <c:v>91.168148002045555</c:v>
                </c:pt>
                <c:pt idx="33">
                  <c:v>97.742138527284766</c:v>
                </c:pt>
                <c:pt idx="34">
                  <c:v>105.03206212187048</c:v>
                </c:pt>
                <c:pt idx="35">
                  <c:v>112.41915041478244</c:v>
                </c:pt>
                <c:pt idx="36">
                  <c:v>120.68865993951682</c:v>
                </c:pt>
                <c:pt idx="37">
                  <c:v>129.25948793402594</c:v>
                </c:pt>
                <c:pt idx="38">
                  <c:v>138.657423513065</c:v>
                </c:pt>
                <c:pt idx="39">
                  <c:v>148.85589995857751</c:v>
                </c:pt>
                <c:pt idx="40">
                  <c:v>159.6918914524598</c:v>
                </c:pt>
                <c:pt idx="41">
                  <c:v>171.70002903692296</c:v>
                </c:pt>
                <c:pt idx="42">
                  <c:v>184.91974056523</c:v>
                </c:pt>
                <c:pt idx="43">
                  <c:v>223.69538315069593</c:v>
                </c:pt>
                <c:pt idx="44">
                  <c:v>275.59525447390911</c:v>
                </c:pt>
                <c:pt idx="45">
                  <c:v>350.11878664496953</c:v>
                </c:pt>
                <c:pt idx="46">
                  <c:v>464.33729154424657</c:v>
                </c:pt>
                <c:pt idx="47">
                  <c:v>629.88946411365691</c:v>
                </c:pt>
                <c:pt idx="48">
                  <c:v>896.70505284637761</c:v>
                </c:pt>
                <c:pt idx="49">
                  <c:v>1366.5414242164236</c:v>
                </c:pt>
                <c:pt idx="50">
                  <c:v>2327.27706036261</c:v>
                </c:pt>
                <c:pt idx="51">
                  <c:v>4624.8088258038188</c:v>
                </c:pt>
                <c:pt idx="52">
                  <c:v>13462.107683894623</c:v>
                </c:pt>
              </c:numCache>
            </c:numRef>
          </c:xVal>
          <c:yVal>
            <c:numRef>
              <c:f>BPkW_Si!$P$21:$P$73</c:f>
              <c:numCache>
                <c:formatCode>0.00</c:formatCode>
                <c:ptCount val="53"/>
                <c:pt idx="0" formatCode="0.0">
                  <c:v>0</c:v>
                </c:pt>
                <c:pt idx="1">
                  <c:v>4.0998340000000004</c:v>
                </c:pt>
                <c:pt idx="2">
                  <c:v>8.1996680000000008</c:v>
                </c:pt>
                <c:pt idx="3">
                  <c:v>12.299501999999999</c:v>
                </c:pt>
                <c:pt idx="4">
                  <c:v>16.399336000000002</c:v>
                </c:pt>
                <c:pt idx="5">
                  <c:v>20.499169999999999</c:v>
                </c:pt>
                <c:pt idx="6">
                  <c:v>24.599003999999997</c:v>
                </c:pt>
                <c:pt idx="7">
                  <c:v>28.698837999999999</c:v>
                </c:pt>
                <c:pt idx="8">
                  <c:v>32.798672000000003</c:v>
                </c:pt>
                <c:pt idx="9">
                  <c:v>34.848588999999997</c:v>
                </c:pt>
                <c:pt idx="10">
                  <c:v>36.898505999999998</c:v>
                </c:pt>
                <c:pt idx="11">
                  <c:v>37.718472800000001</c:v>
                </c:pt>
                <c:pt idx="12">
                  <c:v>38.538439599999997</c:v>
                </c:pt>
                <c:pt idx="13">
                  <c:v>39.3584064</c:v>
                </c:pt>
                <c:pt idx="14">
                  <c:v>39.768389800000001</c:v>
                </c:pt>
                <c:pt idx="15">
                  <c:v>40.178373199999996</c:v>
                </c:pt>
                <c:pt idx="16">
                  <c:v>40.588356599999997</c:v>
                </c:pt>
                <c:pt idx="17">
                  <c:v>40.998339999999999</c:v>
                </c:pt>
                <c:pt idx="18">
                  <c:v>40.588356599999997</c:v>
                </c:pt>
                <c:pt idx="19">
                  <c:v>40.178373199999996</c:v>
                </c:pt>
                <c:pt idx="20">
                  <c:v>39.768389800000001</c:v>
                </c:pt>
                <c:pt idx="21">
                  <c:v>39.3584064</c:v>
                </c:pt>
                <c:pt idx="22">
                  <c:v>38.948422999999998</c:v>
                </c:pt>
                <c:pt idx="23">
                  <c:v>38.538439599999997</c:v>
                </c:pt>
                <c:pt idx="24">
                  <c:v>38.128456199999995</c:v>
                </c:pt>
                <c:pt idx="25">
                  <c:v>37.718472799999994</c:v>
                </c:pt>
                <c:pt idx="26">
                  <c:v>37.308489399999999</c:v>
                </c:pt>
                <c:pt idx="27">
                  <c:v>36.898505999999998</c:v>
                </c:pt>
                <c:pt idx="28">
                  <c:v>36.078539199999994</c:v>
                </c:pt>
                <c:pt idx="29">
                  <c:v>35.258572399999991</c:v>
                </c:pt>
                <c:pt idx="30">
                  <c:v>34.438605599999995</c:v>
                </c:pt>
                <c:pt idx="31">
                  <c:v>33.618638799999992</c:v>
                </c:pt>
                <c:pt idx="32">
                  <c:v>32.798671999999989</c:v>
                </c:pt>
                <c:pt idx="33">
                  <c:v>31.97870519999999</c:v>
                </c:pt>
                <c:pt idx="34">
                  <c:v>31.15873839999999</c:v>
                </c:pt>
                <c:pt idx="35">
                  <c:v>30.338771599999991</c:v>
                </c:pt>
                <c:pt idx="36">
                  <c:v>29.518804799999987</c:v>
                </c:pt>
                <c:pt idx="37">
                  <c:v>28.698837999999988</c:v>
                </c:pt>
                <c:pt idx="38">
                  <c:v>27.878871199999988</c:v>
                </c:pt>
                <c:pt idx="39">
                  <c:v>27.058904399999985</c:v>
                </c:pt>
                <c:pt idx="40">
                  <c:v>26.238937599999986</c:v>
                </c:pt>
                <c:pt idx="41">
                  <c:v>25.418970799999986</c:v>
                </c:pt>
                <c:pt idx="42">
                  <c:v>24.599003999999987</c:v>
                </c:pt>
                <c:pt idx="43">
                  <c:v>22.549086999999982</c:v>
                </c:pt>
                <c:pt idx="44">
                  <c:v>20.499169999999985</c:v>
                </c:pt>
                <c:pt idx="45">
                  <c:v>18.449252999999985</c:v>
                </c:pt>
                <c:pt idx="46">
                  <c:v>16.399335999999984</c:v>
                </c:pt>
                <c:pt idx="47">
                  <c:v>14.349418999999985</c:v>
                </c:pt>
                <c:pt idx="48">
                  <c:v>12.299501999999986</c:v>
                </c:pt>
                <c:pt idx="49">
                  <c:v>10.249584999999986</c:v>
                </c:pt>
                <c:pt idx="50">
                  <c:v>8.1996679999999866</c:v>
                </c:pt>
                <c:pt idx="51">
                  <c:v>6.1497509999999869</c:v>
                </c:pt>
                <c:pt idx="52">
                  <c:v>4.0998339999999871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BPkW_Si!$Y$4</c:f>
              <c:strCache>
                <c:ptCount val="1"/>
                <c:pt idx="0">
                  <c:v>132Xe</c:v>
                </c:pt>
              </c:strCache>
            </c:strRef>
          </c:tx>
          <c:spPr>
            <a:ln>
              <a:solidFill>
                <a:srgbClr val="008000"/>
              </a:solidFill>
            </a:ln>
          </c:spPr>
          <c:marker>
            <c:symbol val="none"/>
          </c:marker>
          <c:xVal>
            <c:numRef>
              <c:f>BPkW_Si!$AA$21:$AA$73</c:f>
              <c:numCache>
                <c:formatCode>0.0</c:formatCode>
                <c:ptCount val="53"/>
                <c:pt idx="0">
                  <c:v>0</c:v>
                </c:pt>
                <c:pt idx="1">
                  <c:v>1.6941221374045804E-2</c:v>
                </c:pt>
                <c:pt idx="2">
                  <c:v>2.1188161764705886</c:v>
                </c:pt>
                <c:pt idx="3">
                  <c:v>4.5790172684458392</c:v>
                </c:pt>
                <c:pt idx="4">
                  <c:v>6.7284564902686181</c:v>
                </c:pt>
                <c:pt idx="5">
                  <c:v>8.9280586099857935</c:v>
                </c:pt>
                <c:pt idx="6">
                  <c:v>11.451849460696826</c:v>
                </c:pt>
                <c:pt idx="7">
                  <c:v>14.477104172133297</c:v>
                </c:pt>
                <c:pt idx="8">
                  <c:v>18.222442545109217</c:v>
                </c:pt>
                <c:pt idx="9">
                  <c:v>20.503538691937543</c:v>
                </c:pt>
                <c:pt idx="10">
                  <c:v>23.272675671558424</c:v>
                </c:pt>
                <c:pt idx="11">
                  <c:v>24.548784342492933</c:v>
                </c:pt>
                <c:pt idx="12">
                  <c:v>25.974269064250642</c:v>
                </c:pt>
                <c:pt idx="13">
                  <c:v>27.647236451612873</c:v>
                </c:pt>
                <c:pt idx="14">
                  <c:v>28.933435403225801</c:v>
                </c:pt>
                <c:pt idx="15">
                  <c:v>31.382514010695175</c:v>
                </c:pt>
                <c:pt idx="16">
                  <c:v>33.706002061122987</c:v>
                </c:pt>
                <c:pt idx="17">
                  <c:v>41.54</c:v>
                </c:pt>
                <c:pt idx="18">
                  <c:v>48.882362684936133</c:v>
                </c:pt>
                <c:pt idx="19">
                  <c:v>53.06952160832482</c:v>
                </c:pt>
                <c:pt idx="20">
                  <c:v>56.594716509855786</c:v>
                </c:pt>
                <c:pt idx="21">
                  <c:v>59.997281671086995</c:v>
                </c:pt>
                <c:pt idx="22">
                  <c:v>63.160633577043235</c:v>
                </c:pt>
                <c:pt idx="23">
                  <c:v>66.283479998626959</c:v>
                </c:pt>
                <c:pt idx="24">
                  <c:v>69.363297457453768</c:v>
                </c:pt>
                <c:pt idx="25">
                  <c:v>72.429117466560228</c:v>
                </c:pt>
                <c:pt idx="26">
                  <c:v>75.528543633978373</c:v>
                </c:pt>
                <c:pt idx="27">
                  <c:v>78.653408986553004</c:v>
                </c:pt>
                <c:pt idx="28">
                  <c:v>85.069544035111079</c:v>
                </c:pt>
                <c:pt idx="29">
                  <c:v>91.767056456518077</c:v>
                </c:pt>
                <c:pt idx="30">
                  <c:v>98.835599258226438</c:v>
                </c:pt>
                <c:pt idx="31">
                  <c:v>106.30274435142485</c:v>
                </c:pt>
                <c:pt idx="32">
                  <c:v>114.24327620237931</c:v>
                </c:pt>
                <c:pt idx="33">
                  <c:v>122.79188788600099</c:v>
                </c:pt>
                <c:pt idx="34">
                  <c:v>131.93034918093676</c:v>
                </c:pt>
                <c:pt idx="35">
                  <c:v>142.04063857993194</c:v>
                </c:pt>
                <c:pt idx="36">
                  <c:v>152.61912142622108</c:v>
                </c:pt>
                <c:pt idx="37">
                  <c:v>164.45792396585449</c:v>
                </c:pt>
                <c:pt idx="38">
                  <c:v>176.92578940869819</c:v>
                </c:pt>
                <c:pt idx="39">
                  <c:v>190.72611103203482</c:v>
                </c:pt>
                <c:pt idx="40">
                  <c:v>205.93739874529516</c:v>
                </c:pt>
                <c:pt idx="41">
                  <c:v>222.21614520662854</c:v>
                </c:pt>
                <c:pt idx="42">
                  <c:v>240.55222391328022</c:v>
                </c:pt>
                <c:pt idx="43">
                  <c:v>295.07670198855277</c:v>
                </c:pt>
                <c:pt idx="44">
                  <c:v>368.52115718961664</c:v>
                </c:pt>
                <c:pt idx="45">
                  <c:v>471.56269078351551</c:v>
                </c:pt>
                <c:pt idx="46">
                  <c:v>619.45411661637434</c:v>
                </c:pt>
                <c:pt idx="47">
                  <c:v>847.30865718362691</c:v>
                </c:pt>
                <c:pt idx="48">
                  <c:v>1214.6033276247326</c:v>
                </c:pt>
                <c:pt idx="49">
                  <c:v>1867.8033464885993</c:v>
                </c:pt>
                <c:pt idx="50">
                  <c:v>3232.6864076734892</c:v>
                </c:pt>
                <c:pt idx="51">
                  <c:v>6819.4607242098909</c:v>
                </c:pt>
                <c:pt idx="52">
                  <c:v>23139.243036335869</c:v>
                </c:pt>
              </c:numCache>
            </c:numRef>
          </c:xVal>
          <c:yVal>
            <c:numRef>
              <c:f>BPkW_Si!$Y$21:$Y$73</c:f>
              <c:numCache>
                <c:formatCode>0.00</c:formatCode>
                <c:ptCount val="53"/>
                <c:pt idx="0" formatCode="0.0">
                  <c:v>0</c:v>
                </c:pt>
                <c:pt idx="1">
                  <c:v>6.9342900000000007</c:v>
                </c:pt>
                <c:pt idx="2">
                  <c:v>13.868580000000001</c:v>
                </c:pt>
                <c:pt idx="3">
                  <c:v>20.802869999999999</c:v>
                </c:pt>
                <c:pt idx="4">
                  <c:v>27.737160000000003</c:v>
                </c:pt>
                <c:pt idx="5">
                  <c:v>34.67145</c:v>
                </c:pt>
                <c:pt idx="6">
                  <c:v>41.605739999999997</c:v>
                </c:pt>
                <c:pt idx="7">
                  <c:v>48.540029999999994</c:v>
                </c:pt>
                <c:pt idx="8">
                  <c:v>55.474320000000006</c:v>
                </c:pt>
                <c:pt idx="9">
                  <c:v>58.941465000000001</c:v>
                </c:pt>
                <c:pt idx="10">
                  <c:v>62.408610000000003</c:v>
                </c:pt>
                <c:pt idx="11">
                  <c:v>63.795468</c:v>
                </c:pt>
                <c:pt idx="12">
                  <c:v>65.182326000000003</c:v>
                </c:pt>
                <c:pt idx="13">
                  <c:v>66.569183999999993</c:v>
                </c:pt>
                <c:pt idx="14">
                  <c:v>67.262613000000002</c:v>
                </c:pt>
                <c:pt idx="15">
                  <c:v>67.956041999999997</c:v>
                </c:pt>
                <c:pt idx="16">
                  <c:v>68.649471000000005</c:v>
                </c:pt>
                <c:pt idx="17">
                  <c:v>69.3429</c:v>
                </c:pt>
                <c:pt idx="18">
                  <c:v>68.649471000000005</c:v>
                </c:pt>
                <c:pt idx="19">
                  <c:v>67.956041999999997</c:v>
                </c:pt>
                <c:pt idx="20">
                  <c:v>67.262613000000002</c:v>
                </c:pt>
                <c:pt idx="21">
                  <c:v>66.569183999999993</c:v>
                </c:pt>
                <c:pt idx="22">
                  <c:v>65.875754999999998</c:v>
                </c:pt>
                <c:pt idx="23">
                  <c:v>65.182326000000003</c:v>
                </c:pt>
                <c:pt idx="24">
                  <c:v>64.488896999999994</c:v>
                </c:pt>
                <c:pt idx="25">
                  <c:v>63.795467999999993</c:v>
                </c:pt>
                <c:pt idx="26">
                  <c:v>63.102038999999998</c:v>
                </c:pt>
                <c:pt idx="27">
                  <c:v>62.408609999999996</c:v>
                </c:pt>
                <c:pt idx="28">
                  <c:v>61.021751999999992</c:v>
                </c:pt>
                <c:pt idx="29">
                  <c:v>59.634893999999989</c:v>
                </c:pt>
                <c:pt idx="30">
                  <c:v>58.248035999999992</c:v>
                </c:pt>
                <c:pt idx="31">
                  <c:v>56.861177999999988</c:v>
                </c:pt>
                <c:pt idx="32">
                  <c:v>55.474319999999985</c:v>
                </c:pt>
                <c:pt idx="33">
                  <c:v>54.087461999999988</c:v>
                </c:pt>
                <c:pt idx="34">
                  <c:v>52.700603999999984</c:v>
                </c:pt>
                <c:pt idx="35">
                  <c:v>51.313745999999988</c:v>
                </c:pt>
                <c:pt idx="36">
                  <c:v>49.926887999999984</c:v>
                </c:pt>
                <c:pt idx="37">
                  <c:v>48.54002999999998</c:v>
                </c:pt>
                <c:pt idx="38">
                  <c:v>47.153171999999984</c:v>
                </c:pt>
                <c:pt idx="39">
                  <c:v>45.76631399999998</c:v>
                </c:pt>
                <c:pt idx="40">
                  <c:v>44.379455999999976</c:v>
                </c:pt>
                <c:pt idx="41">
                  <c:v>42.99259799999998</c:v>
                </c:pt>
                <c:pt idx="42">
                  <c:v>41.605739999999976</c:v>
                </c:pt>
                <c:pt idx="43">
                  <c:v>38.138594999999974</c:v>
                </c:pt>
                <c:pt idx="44">
                  <c:v>34.671449999999972</c:v>
                </c:pt>
                <c:pt idx="45">
                  <c:v>31.204304999999973</c:v>
                </c:pt>
                <c:pt idx="46">
                  <c:v>27.737159999999975</c:v>
                </c:pt>
                <c:pt idx="47">
                  <c:v>24.270014999999976</c:v>
                </c:pt>
                <c:pt idx="48">
                  <c:v>20.802869999999977</c:v>
                </c:pt>
                <c:pt idx="49">
                  <c:v>17.335724999999975</c:v>
                </c:pt>
                <c:pt idx="50">
                  <c:v>13.868579999999978</c:v>
                </c:pt>
                <c:pt idx="51">
                  <c:v>10.401434999999978</c:v>
                </c:pt>
                <c:pt idx="52">
                  <c:v>6.9342899999999785</c:v>
                </c:pt>
              </c:numCache>
            </c:numRef>
          </c:yVal>
          <c:smooth val="0"/>
        </c:ser>
        <c:ser>
          <c:idx val="3"/>
          <c:order val="3"/>
          <c:tx>
            <c:strRef>
              <c:f>BPkW_Si!$AH$4</c:f>
              <c:strCache>
                <c:ptCount val="1"/>
                <c:pt idx="0">
                  <c:v>197Au</c:v>
                </c:pt>
              </c:strCache>
            </c:strRef>
          </c:tx>
          <c:spPr>
            <a:ln>
              <a:solidFill>
                <a:srgbClr val="7030A0"/>
              </a:solidFill>
            </a:ln>
          </c:spPr>
          <c:marker>
            <c:symbol val="none"/>
          </c:marker>
          <c:xVal>
            <c:numRef>
              <c:f>BPkW_Si!$AJ$21:$AJ$73</c:f>
              <c:numCache>
                <c:formatCode>0.0</c:formatCode>
                <c:ptCount val="53"/>
                <c:pt idx="0">
                  <c:v>0</c:v>
                </c:pt>
                <c:pt idx="1">
                  <c:v>2.073153352353781E-2</c:v>
                </c:pt>
                <c:pt idx="2">
                  <c:v>0.16885783673469418</c:v>
                </c:pt>
                <c:pt idx="3">
                  <c:v>9.0749390000000005</c:v>
                </c:pt>
                <c:pt idx="4">
                  <c:v>11.824152233009711</c:v>
                </c:pt>
                <c:pt idx="5">
                  <c:v>14.436469157769869</c:v>
                </c:pt>
                <c:pt idx="6">
                  <c:v>17.21158439497097</c:v>
                </c:pt>
                <c:pt idx="7">
                  <c:v>20.442329443752126</c:v>
                </c:pt>
                <c:pt idx="8">
                  <c:v>24.535882484376643</c:v>
                </c:pt>
                <c:pt idx="9">
                  <c:v>27.073269327467006</c:v>
                </c:pt>
                <c:pt idx="10">
                  <c:v>30.164063001993743</c:v>
                </c:pt>
                <c:pt idx="11">
                  <c:v>31.626904686005744</c:v>
                </c:pt>
                <c:pt idx="12">
                  <c:v>33.305617835723595</c:v>
                </c:pt>
                <c:pt idx="13">
                  <c:v>35.86524384940612</c:v>
                </c:pt>
                <c:pt idx="14">
                  <c:v>38.097624317617893</c:v>
                </c:pt>
                <c:pt idx="15">
                  <c:v>40.221500880304838</c:v>
                </c:pt>
                <c:pt idx="16">
                  <c:v>43.357341288872284</c:v>
                </c:pt>
                <c:pt idx="17">
                  <c:v>51.65</c:v>
                </c:pt>
                <c:pt idx="18">
                  <c:v>63.705531475028991</c:v>
                </c:pt>
                <c:pt idx="19">
                  <c:v>69.987286656630587</c:v>
                </c:pt>
                <c:pt idx="20">
                  <c:v>75.406820256410214</c:v>
                </c:pt>
                <c:pt idx="21">
                  <c:v>80.578275625704592</c:v>
                </c:pt>
                <c:pt idx="22">
                  <c:v>85.645512385628166</c:v>
                </c:pt>
                <c:pt idx="23">
                  <c:v>90.717297537272202</c:v>
                </c:pt>
                <c:pt idx="24">
                  <c:v>95.828038884419456</c:v>
                </c:pt>
                <c:pt idx="25">
                  <c:v>101.10010218811129</c:v>
                </c:pt>
                <c:pt idx="26">
                  <c:v>106.48616528074849</c:v>
                </c:pt>
                <c:pt idx="27">
                  <c:v>112.05775764933514</c:v>
                </c:pt>
                <c:pt idx="28">
                  <c:v>123.62672135002771</c:v>
                </c:pt>
                <c:pt idx="29">
                  <c:v>136.02857450927928</c:v>
                </c:pt>
                <c:pt idx="30">
                  <c:v>149.4010574417162</c:v>
                </c:pt>
                <c:pt idx="31">
                  <c:v>163.8633358635517</c:v>
                </c:pt>
                <c:pt idx="32">
                  <c:v>179.28027559220786</c:v>
                </c:pt>
                <c:pt idx="33">
                  <c:v>195.85388529843866</c:v>
                </c:pt>
                <c:pt idx="34">
                  <c:v>213.46624091883439</c:v>
                </c:pt>
                <c:pt idx="35">
                  <c:v>232.37131647277047</c:v>
                </c:pt>
                <c:pt idx="36">
                  <c:v>251.78909691416069</c:v>
                </c:pt>
                <c:pt idx="37">
                  <c:v>272.82717243303017</c:v>
                </c:pt>
                <c:pt idx="38">
                  <c:v>294.74727618042016</c:v>
                </c:pt>
                <c:pt idx="39">
                  <c:v>317.58086914779665</c:v>
                </c:pt>
                <c:pt idx="40">
                  <c:v>343.00443807025539</c:v>
                </c:pt>
                <c:pt idx="41">
                  <c:v>374.03295169481095</c:v>
                </c:pt>
                <c:pt idx="42">
                  <c:v>410.56098513904828</c:v>
                </c:pt>
                <c:pt idx="43">
                  <c:v>521.35247476990264</c:v>
                </c:pt>
                <c:pt idx="44">
                  <c:v>668.8559913327781</c:v>
                </c:pt>
                <c:pt idx="45">
                  <c:v>874.11993975231655</c:v>
                </c:pt>
                <c:pt idx="46">
                  <c:v>1177.9202643641424</c:v>
                </c:pt>
                <c:pt idx="47">
                  <c:v>1647.4645253220963</c:v>
                </c:pt>
                <c:pt idx="48">
                  <c:v>2440.4608306316104</c:v>
                </c:pt>
                <c:pt idx="49">
                  <c:v>3915.6873712128768</c:v>
                </c:pt>
                <c:pt idx="50">
                  <c:v>7298.4044182635425</c:v>
                </c:pt>
                <c:pt idx="51">
                  <c:v>18486.873108658783</c:v>
                </c:pt>
              </c:numCache>
            </c:numRef>
          </c:xVal>
          <c:yVal>
            <c:numRef>
              <c:f>BPkW_Si!$AH$21:$AH$73</c:f>
              <c:numCache>
                <c:formatCode>0.00</c:formatCode>
                <c:ptCount val="53"/>
                <c:pt idx="0" formatCode="0.0">
                  <c:v>0</c:v>
                </c:pt>
                <c:pt idx="1">
                  <c:v>9.4366200000000013</c:v>
                </c:pt>
                <c:pt idx="2">
                  <c:v>18.873240000000003</c:v>
                </c:pt>
                <c:pt idx="3">
                  <c:v>28.30986</c:v>
                </c:pt>
                <c:pt idx="4">
                  <c:v>37.746480000000005</c:v>
                </c:pt>
                <c:pt idx="5">
                  <c:v>47.183100000000003</c:v>
                </c:pt>
                <c:pt idx="6">
                  <c:v>56.619720000000001</c:v>
                </c:pt>
                <c:pt idx="7">
                  <c:v>66.056340000000006</c:v>
                </c:pt>
                <c:pt idx="8">
                  <c:v>75.492960000000011</c:v>
                </c:pt>
                <c:pt idx="9">
                  <c:v>80.211269999999999</c:v>
                </c:pt>
                <c:pt idx="10">
                  <c:v>84.929580000000001</c:v>
                </c:pt>
                <c:pt idx="11">
                  <c:v>86.816904000000008</c:v>
                </c:pt>
                <c:pt idx="12">
                  <c:v>88.704228000000001</c:v>
                </c:pt>
                <c:pt idx="13">
                  <c:v>90.591552000000007</c:v>
                </c:pt>
                <c:pt idx="14">
                  <c:v>91.535214000000011</c:v>
                </c:pt>
                <c:pt idx="15">
                  <c:v>92.478876</c:v>
                </c:pt>
                <c:pt idx="16">
                  <c:v>93.422538000000003</c:v>
                </c:pt>
                <c:pt idx="17">
                  <c:v>94.366200000000006</c:v>
                </c:pt>
                <c:pt idx="18">
                  <c:v>93.422538000000003</c:v>
                </c:pt>
                <c:pt idx="19">
                  <c:v>92.478876</c:v>
                </c:pt>
                <c:pt idx="20">
                  <c:v>91.535214000000011</c:v>
                </c:pt>
                <c:pt idx="21">
                  <c:v>90.591552000000007</c:v>
                </c:pt>
                <c:pt idx="22">
                  <c:v>89.647890000000004</c:v>
                </c:pt>
                <c:pt idx="23">
                  <c:v>88.704228000000001</c:v>
                </c:pt>
                <c:pt idx="24">
                  <c:v>87.760565999999997</c:v>
                </c:pt>
                <c:pt idx="25">
                  <c:v>86.816903999999994</c:v>
                </c:pt>
                <c:pt idx="26">
                  <c:v>85.873242000000005</c:v>
                </c:pt>
                <c:pt idx="27">
                  <c:v>84.929580000000001</c:v>
                </c:pt>
                <c:pt idx="28">
                  <c:v>83.042255999999995</c:v>
                </c:pt>
                <c:pt idx="29">
                  <c:v>81.154931999999988</c:v>
                </c:pt>
                <c:pt idx="30">
                  <c:v>79.267607999999996</c:v>
                </c:pt>
                <c:pt idx="31">
                  <c:v>77.380283999999989</c:v>
                </c:pt>
                <c:pt idx="32">
                  <c:v>75.492959999999982</c:v>
                </c:pt>
                <c:pt idx="33">
                  <c:v>73.60563599999999</c:v>
                </c:pt>
                <c:pt idx="34">
                  <c:v>71.718311999999983</c:v>
                </c:pt>
                <c:pt idx="35">
                  <c:v>69.830987999999977</c:v>
                </c:pt>
                <c:pt idx="36">
                  <c:v>67.943663999999984</c:v>
                </c:pt>
                <c:pt idx="37">
                  <c:v>66.056339999999977</c:v>
                </c:pt>
                <c:pt idx="38">
                  <c:v>64.169015999999971</c:v>
                </c:pt>
                <c:pt idx="39">
                  <c:v>62.281691999999978</c:v>
                </c:pt>
                <c:pt idx="40">
                  <c:v>60.394367999999972</c:v>
                </c:pt>
                <c:pt idx="41">
                  <c:v>58.507043999999972</c:v>
                </c:pt>
                <c:pt idx="42">
                  <c:v>56.619719999999973</c:v>
                </c:pt>
                <c:pt idx="43">
                  <c:v>51.901409999999963</c:v>
                </c:pt>
                <c:pt idx="44">
                  <c:v>47.183099999999968</c:v>
                </c:pt>
                <c:pt idx="45">
                  <c:v>42.464789999999965</c:v>
                </c:pt>
                <c:pt idx="46">
                  <c:v>37.74647999999997</c:v>
                </c:pt>
                <c:pt idx="47">
                  <c:v>33.028169999999967</c:v>
                </c:pt>
                <c:pt idx="48">
                  <c:v>28.309859999999968</c:v>
                </c:pt>
                <c:pt idx="49">
                  <c:v>23.59154999999997</c:v>
                </c:pt>
                <c:pt idx="50">
                  <c:v>18.873239999999971</c:v>
                </c:pt>
                <c:pt idx="51">
                  <c:v>14.154929999999972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4144400"/>
        <c:axId val="454145184"/>
      </c:scatterChart>
      <c:valAx>
        <c:axId val="454144400"/>
        <c:scaling>
          <c:orientation val="maxMin"/>
          <c:max val="3000"/>
          <c:min val="0"/>
        </c:scaling>
        <c:delete val="0"/>
        <c:axPos val="b"/>
        <c:majorGridlines>
          <c:spPr>
            <a:ln>
              <a:solidFill>
                <a:schemeClr val="tx2">
                  <a:lumMod val="40000"/>
                  <a:lumOff val="60000"/>
                </a:schemeClr>
              </a:solidFill>
              <a:prstDash val="dash"/>
            </a:ln>
          </c:spPr>
        </c:majorGridlines>
        <c:title>
          <c:tx>
            <c:strRef>
              <c:f>BPkW_Si!$C$85</c:f>
              <c:strCache>
                <c:ptCount val="1"/>
                <c:pt idx="0">
                  <c:v>Thick [μm] Si</c:v>
                </c:pt>
              </c:strCache>
            </c:strRef>
          </c:tx>
          <c:layout>
            <c:manualLayout>
              <c:xMode val="edge"/>
              <c:yMode val="edge"/>
              <c:x val="0.31607449668434817"/>
              <c:y val="0.94807428632866642"/>
            </c:manualLayout>
          </c:layout>
          <c:overlay val="0"/>
          <c:spPr>
            <a:solidFill>
              <a:schemeClr val="bg1"/>
            </a:solidFill>
          </c:spPr>
          <c:txPr>
            <a:bodyPr/>
            <a:lstStyle/>
            <a:p>
              <a:pPr>
                <a:defRPr sz="1200">
                  <a:solidFill>
                    <a:schemeClr val="tx1"/>
                  </a:solidFill>
                </a:defRPr>
              </a:pPr>
              <a:endParaRPr lang="ja-JP"/>
            </a:p>
          </c:txPr>
        </c:title>
        <c:numFmt formatCode="0_ " sourceLinked="0"/>
        <c:majorTickMark val="cross"/>
        <c:minorTickMark val="out"/>
        <c:tickLblPos val="nextTo"/>
        <c:txPr>
          <a:bodyPr/>
          <a:lstStyle/>
          <a:p>
            <a:pPr>
              <a:defRPr sz="1100">
                <a:latin typeface="+mn-ea"/>
                <a:ea typeface="+mn-ea"/>
              </a:defRPr>
            </a:pPr>
            <a:endParaRPr lang="ja-JP"/>
          </a:p>
        </c:txPr>
        <c:crossAx val="454145184"/>
        <c:crosses val="autoZero"/>
        <c:crossBetween val="midCat"/>
        <c:majorUnit val="500"/>
      </c:valAx>
      <c:valAx>
        <c:axId val="454145184"/>
        <c:scaling>
          <c:orientation val="minMax"/>
        </c:scaling>
        <c:delete val="0"/>
        <c:axPos val="r"/>
        <c:majorGridlines>
          <c:spPr>
            <a:ln>
              <a:solidFill>
                <a:schemeClr val="tx2">
                  <a:lumMod val="40000"/>
                  <a:lumOff val="60000"/>
                </a:schemeClr>
              </a:solidFill>
              <a:prstDash val="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altLang="en-US" sz="1200"/>
                  <a:t>LETt </a:t>
                </a:r>
                <a:r>
                  <a:rPr lang="en-US" altLang="en-US" sz="1200">
                    <a:solidFill>
                      <a:srgbClr val="FF0000"/>
                    </a:solidFill>
                  </a:rPr>
                  <a:t>in Si </a:t>
                </a:r>
                <a:r>
                  <a:rPr lang="en-US" altLang="en-US" sz="1200" b="0">
                    <a:solidFill>
                      <a:schemeClr val="tx1"/>
                    </a:solidFill>
                  </a:rPr>
                  <a:t>[MeV/(mg/cm2)]</a:t>
                </a:r>
              </a:p>
            </c:rich>
          </c:tx>
          <c:layout>
            <c:manualLayout>
              <c:xMode val="edge"/>
              <c:yMode val="edge"/>
              <c:x val="0.93902832370385148"/>
              <c:y val="0.35262365552470604"/>
            </c:manualLayout>
          </c:layout>
          <c:overlay val="0"/>
        </c:title>
        <c:numFmt formatCode="0_ " sourceLinked="0"/>
        <c:majorTickMark val="cross"/>
        <c:minorTickMark val="out"/>
        <c:tickLblPos val="nextTo"/>
        <c:txPr>
          <a:bodyPr/>
          <a:lstStyle/>
          <a:p>
            <a:pPr>
              <a:defRPr sz="1100"/>
            </a:pPr>
            <a:endParaRPr lang="ja-JP"/>
          </a:p>
        </c:txPr>
        <c:crossAx val="454144400"/>
        <c:crossesAt val="-100"/>
        <c:crossBetween val="midCat"/>
      </c:valAx>
    </c:plotArea>
    <c:legend>
      <c:legendPos val="r"/>
      <c:layout>
        <c:manualLayout>
          <c:xMode val="edge"/>
          <c:yMode val="edge"/>
          <c:x val="8.3940550711465486E-2"/>
          <c:y val="0.15101915038342859"/>
          <c:w val="0.22996875"/>
          <c:h val="0.15542407407407408"/>
        </c:manualLayout>
      </c:layout>
      <c:overlay val="0"/>
      <c:spPr>
        <a:solidFill>
          <a:schemeClr val="bg1"/>
        </a:solidFill>
      </c:sp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50">
          <a:latin typeface="+mn-ea"/>
          <a:ea typeface="+mn-ea"/>
        </a:defRPr>
      </a:pPr>
      <a:endParaRPr lang="ja-JP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BPkW_Si!$C$80</c:f>
          <c:strCache>
            <c:ptCount val="1"/>
            <c:pt idx="0">
              <c:v>max LETt norm. wid</c:v>
            </c:pt>
          </c:strCache>
        </c:strRef>
      </c:tx>
      <c:layout>
        <c:manualLayout>
          <c:xMode val="edge"/>
          <c:yMode val="edge"/>
          <c:x val="6.3930378005864263E-2"/>
          <c:y val="5.4887999127866431E-3"/>
        </c:manualLayout>
      </c:layout>
      <c:overlay val="0"/>
      <c:txPr>
        <a:bodyPr/>
        <a:lstStyle/>
        <a:p>
          <a:pPr>
            <a:defRPr sz="1400"/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6.1844212962962962E-2"/>
          <c:y val="5.4289891946211082E-2"/>
          <c:w val="0.8070842592592592"/>
          <c:h val="0.82133726851851852"/>
        </c:manualLayout>
      </c:layout>
      <c:scatterChart>
        <c:scatterStyle val="smoothMarker"/>
        <c:varyColors val="0"/>
        <c:ser>
          <c:idx val="0"/>
          <c:order val="0"/>
          <c:tx>
            <c:strRef>
              <c:f>BPkW_Si!$G$4</c:f>
              <c:strCache>
                <c:ptCount val="1"/>
                <c:pt idx="0">
                  <c:v>40Ar</c:v>
                </c:pt>
              </c:strCache>
            </c:strRef>
          </c:tx>
          <c:spPr>
            <a:ln w="19050" cmpd="sng">
              <a:solidFill>
                <a:srgbClr val="FF0000"/>
              </a:solidFill>
            </a:ln>
          </c:spPr>
          <c:marker>
            <c:symbol val="circle"/>
            <c:size val="3"/>
            <c:spPr>
              <a:solidFill>
                <a:srgbClr val="FF0000"/>
              </a:solidFill>
              <a:ln>
                <a:noFill/>
              </a:ln>
            </c:spPr>
          </c:marker>
          <c:xVal>
            <c:numRef>
              <c:f>BPkW_Si!$J$21:$J$73</c:f>
              <c:numCache>
                <c:formatCode>0.0</c:formatCode>
                <c:ptCount val="53"/>
                <c:pt idx="0">
                  <c:v>13.7</c:v>
                </c:pt>
                <c:pt idx="1">
                  <c:v>13.694924886075949</c:v>
                </c:pt>
                <c:pt idx="2">
                  <c:v>13.265519999999999</c:v>
                </c:pt>
                <c:pt idx="3">
                  <c:v>12.436675433231397</c:v>
                </c:pt>
                <c:pt idx="4">
                  <c:v>11.699412239902081</c:v>
                </c:pt>
                <c:pt idx="5">
                  <c:v>10.880847622917512</c:v>
                </c:pt>
                <c:pt idx="6">
                  <c:v>10.00157354606279</c:v>
                </c:pt>
                <c:pt idx="7">
                  <c:v>9.0129325560211342</c:v>
                </c:pt>
                <c:pt idx="8">
                  <c:v>7.8015824634655528</c:v>
                </c:pt>
                <c:pt idx="9">
                  <c:v>7.0329264729964311</c:v>
                </c:pt>
                <c:pt idx="10">
                  <c:v>6.0524585005766998</c:v>
                </c:pt>
                <c:pt idx="11">
                  <c:v>5.5530539374420904</c:v>
                </c:pt>
                <c:pt idx="12">
                  <c:v>4.9614154757067386</c:v>
                </c:pt>
                <c:pt idx="13">
                  <c:v>4.2106953238454921</c:v>
                </c:pt>
                <c:pt idx="14">
                  <c:v>3.7079130603531922</c:v>
                </c:pt>
                <c:pt idx="15">
                  <c:v>3.0689508138124655</c:v>
                </c:pt>
                <c:pt idx="16">
                  <c:v>2.2099063258456244</c:v>
                </c:pt>
                <c:pt idx="17">
                  <c:v>0</c:v>
                </c:pt>
                <c:pt idx="18">
                  <c:v>-4.2077457394711395</c:v>
                </c:pt>
                <c:pt idx="19">
                  <c:v>-6.0861392204628615</c:v>
                </c:pt>
                <c:pt idx="20">
                  <c:v>-7.762957308160793</c:v>
                </c:pt>
                <c:pt idx="21">
                  <c:v>-9.1349714675147879</c:v>
                </c:pt>
                <c:pt idx="22">
                  <c:v>-10.412422024080001</c:v>
                </c:pt>
                <c:pt idx="23">
                  <c:v>-11.375533961775329</c:v>
                </c:pt>
                <c:pt idx="24">
                  <c:v>-12.294415114494708</c:v>
                </c:pt>
                <c:pt idx="25">
                  <c:v>-13.267525499412486</c:v>
                </c:pt>
                <c:pt idx="26">
                  <c:v>-14.473950176263251</c:v>
                </c:pt>
                <c:pt idx="27">
                  <c:v>-15.6830559758716</c:v>
                </c:pt>
                <c:pt idx="28">
                  <c:v>-18.154516010632882</c:v>
                </c:pt>
                <c:pt idx="29">
                  <c:v>-20.760282979058456</c:v>
                </c:pt>
                <c:pt idx="30">
                  <c:v>-23.485131424565967</c:v>
                </c:pt>
                <c:pt idx="31">
                  <c:v>-26.446556062340431</c:v>
                </c:pt>
                <c:pt idx="32">
                  <c:v>-29.581307343334171</c:v>
                </c:pt>
                <c:pt idx="33">
                  <c:v>-32.936928911356588</c:v>
                </c:pt>
                <c:pt idx="34">
                  <c:v>-36.634798889979393</c:v>
                </c:pt>
                <c:pt idx="35">
                  <c:v>-40.513556722731792</c:v>
                </c:pt>
                <c:pt idx="36">
                  <c:v>-44.83173055777462</c:v>
                </c:pt>
                <c:pt idx="37">
                  <c:v>-49.244433808277321</c:v>
                </c:pt>
                <c:pt idx="38">
                  <c:v>-54.403060455887285</c:v>
                </c:pt>
                <c:pt idx="39">
                  <c:v>-59.83380669981743</c:v>
                </c:pt>
                <c:pt idx="40">
                  <c:v>-65.726739394869114</c:v>
                </c:pt>
                <c:pt idx="41">
                  <c:v>-72.376213751013708</c:v>
                </c:pt>
                <c:pt idx="42">
                  <c:v>-79.671171047917028</c:v>
                </c:pt>
                <c:pt idx="43">
                  <c:v>-101.61063048200691</c:v>
                </c:pt>
                <c:pt idx="44" formatCode="0">
                  <c:v>-131.31138238246447</c:v>
                </c:pt>
                <c:pt idx="45" formatCode="0">
                  <c:v>-171.20216501678303</c:v>
                </c:pt>
                <c:pt idx="46" formatCode="0">
                  <c:v>-228.0230925270117</c:v>
                </c:pt>
                <c:pt idx="47" formatCode="0">
                  <c:v>-314.30725278269136</c:v>
                </c:pt>
                <c:pt idx="48" formatCode="0">
                  <c:v>-449.94966129436375</c:v>
                </c:pt>
                <c:pt idx="49" formatCode="0">
                  <c:v>-698.9263693690998</c:v>
                </c:pt>
                <c:pt idx="50" formatCode="0">
                  <c:v>-1164.4976096577093</c:v>
                </c:pt>
                <c:pt idx="51" formatCode="0">
                  <c:v>-2235.3049847699644</c:v>
                </c:pt>
                <c:pt idx="52" formatCode="0">
                  <c:v>-5747.4772588414326</c:v>
                </c:pt>
              </c:numCache>
            </c:numRef>
          </c:xVal>
          <c:yVal>
            <c:numRef>
              <c:f>BPkW_Si!$F$21:$F$73</c:f>
              <c:numCache>
                <c:formatCode>0.00</c:formatCode>
                <c:ptCount val="53"/>
                <c:pt idx="1">
                  <c:v>0.1</c:v>
                </c:pt>
                <c:pt idx="2">
                  <c:v>0.2</c:v>
                </c:pt>
                <c:pt idx="3">
                  <c:v>0.3</c:v>
                </c:pt>
                <c:pt idx="4">
                  <c:v>0.4</c:v>
                </c:pt>
                <c:pt idx="5">
                  <c:v>0.5</c:v>
                </c:pt>
                <c:pt idx="6">
                  <c:v>0.6</c:v>
                </c:pt>
                <c:pt idx="7">
                  <c:v>0.7</c:v>
                </c:pt>
                <c:pt idx="8">
                  <c:v>0.8</c:v>
                </c:pt>
                <c:pt idx="9">
                  <c:v>0.85</c:v>
                </c:pt>
                <c:pt idx="10">
                  <c:v>0.9</c:v>
                </c:pt>
                <c:pt idx="11">
                  <c:v>0.92</c:v>
                </c:pt>
                <c:pt idx="12">
                  <c:v>0.94</c:v>
                </c:pt>
                <c:pt idx="13">
                  <c:v>0.96</c:v>
                </c:pt>
                <c:pt idx="14">
                  <c:v>0.97</c:v>
                </c:pt>
                <c:pt idx="15">
                  <c:v>0.98</c:v>
                </c:pt>
                <c:pt idx="16">
                  <c:v>0.99</c:v>
                </c:pt>
                <c:pt idx="17" formatCode="0.0">
                  <c:v>1</c:v>
                </c:pt>
                <c:pt idx="18">
                  <c:v>0.99</c:v>
                </c:pt>
                <c:pt idx="19">
                  <c:v>0.98</c:v>
                </c:pt>
                <c:pt idx="20">
                  <c:v>0.97</c:v>
                </c:pt>
                <c:pt idx="21">
                  <c:v>0.96</c:v>
                </c:pt>
                <c:pt idx="22">
                  <c:v>0.95</c:v>
                </c:pt>
                <c:pt idx="23">
                  <c:v>0.94</c:v>
                </c:pt>
                <c:pt idx="24">
                  <c:v>0.92999999999999994</c:v>
                </c:pt>
                <c:pt idx="25">
                  <c:v>0.91999999999999993</c:v>
                </c:pt>
                <c:pt idx="26">
                  <c:v>0.90999999999999992</c:v>
                </c:pt>
                <c:pt idx="27">
                  <c:v>0.89999999999999991</c:v>
                </c:pt>
                <c:pt idx="28">
                  <c:v>0.87999999999999989</c:v>
                </c:pt>
                <c:pt idx="29">
                  <c:v>0.85999999999999988</c:v>
                </c:pt>
                <c:pt idx="30">
                  <c:v>0.83999999999999986</c:v>
                </c:pt>
                <c:pt idx="31">
                  <c:v>0.81999999999999984</c:v>
                </c:pt>
                <c:pt idx="32">
                  <c:v>0.79999999999999982</c:v>
                </c:pt>
                <c:pt idx="33">
                  <c:v>0.7799999999999998</c:v>
                </c:pt>
                <c:pt idx="34">
                  <c:v>0.75999999999999979</c:v>
                </c:pt>
                <c:pt idx="35">
                  <c:v>0.73999999999999977</c:v>
                </c:pt>
                <c:pt idx="36">
                  <c:v>0.71999999999999975</c:v>
                </c:pt>
                <c:pt idx="37">
                  <c:v>0.69999999999999973</c:v>
                </c:pt>
                <c:pt idx="38">
                  <c:v>0.67999999999999972</c:v>
                </c:pt>
                <c:pt idx="39">
                  <c:v>0.6599999999999997</c:v>
                </c:pt>
                <c:pt idx="40">
                  <c:v>0.63999999999999968</c:v>
                </c:pt>
                <c:pt idx="41">
                  <c:v>0.61999999999999966</c:v>
                </c:pt>
                <c:pt idx="42">
                  <c:v>0.59999999999999964</c:v>
                </c:pt>
                <c:pt idx="43">
                  <c:v>0.5499999999999996</c:v>
                </c:pt>
                <c:pt idx="44">
                  <c:v>0.49999999999999961</c:v>
                </c:pt>
                <c:pt idx="45">
                  <c:v>0.44999999999999962</c:v>
                </c:pt>
                <c:pt idx="46">
                  <c:v>0.39999999999999963</c:v>
                </c:pt>
                <c:pt idx="47">
                  <c:v>0.34999999999999964</c:v>
                </c:pt>
                <c:pt idx="48">
                  <c:v>0.29999999999999966</c:v>
                </c:pt>
                <c:pt idx="49">
                  <c:v>0.24999999999999967</c:v>
                </c:pt>
                <c:pt idx="50">
                  <c:v>0.19999999999999968</c:v>
                </c:pt>
                <c:pt idx="51">
                  <c:v>0.14999999999999969</c:v>
                </c:pt>
                <c:pt idx="52">
                  <c:v>9.9999999999999686E-2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BPkW_Si!$P$4</c:f>
              <c:strCache>
                <c:ptCount val="1"/>
                <c:pt idx="0">
                  <c:v>84Kr</c:v>
                </c:pt>
              </c:strCache>
            </c:strRef>
          </c:tx>
          <c:spPr>
            <a:ln w="19050">
              <a:solidFill>
                <a:srgbClr val="0000FF"/>
              </a:solidFill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noFill/>
              </a:ln>
            </c:spPr>
          </c:marker>
          <c:xVal>
            <c:numRef>
              <c:f>BPkW_Si!$S$21:$S$73</c:f>
              <c:numCache>
                <c:formatCode>0.0</c:formatCode>
                <c:ptCount val="53"/>
                <c:pt idx="0">
                  <c:v>25.81</c:v>
                </c:pt>
                <c:pt idx="1">
                  <c:v>25.800817760889711</c:v>
                </c:pt>
                <c:pt idx="2">
                  <c:v>24.170754040114613</c:v>
                </c:pt>
                <c:pt idx="3">
                  <c:v>22.767166993865029</c:v>
                </c:pt>
                <c:pt idx="4">
                  <c:v>21.358254707152838</c:v>
                </c:pt>
                <c:pt idx="5">
                  <c:v>19.990270879999997</c:v>
                </c:pt>
                <c:pt idx="6">
                  <c:v>18.525228017681062</c:v>
                </c:pt>
                <c:pt idx="7">
                  <c:v>16.745606350504225</c:v>
                </c:pt>
                <c:pt idx="8">
                  <c:v>14.265886759391083</c:v>
                </c:pt>
                <c:pt idx="9">
                  <c:v>12.523222679593141</c:v>
                </c:pt>
                <c:pt idx="10">
                  <c:v>10.168681097560981</c:v>
                </c:pt>
                <c:pt idx="11">
                  <c:v>8.9744273793932905</c:v>
                </c:pt>
                <c:pt idx="12">
                  <c:v>7.5580391177403996</c:v>
                </c:pt>
                <c:pt idx="13">
                  <c:v>5.7749017584791424</c:v>
                </c:pt>
                <c:pt idx="14">
                  <c:v>4.7000889068403851</c:v>
                </c:pt>
                <c:pt idx="15">
                  <c:v>3.4454986877111367</c:v>
                </c:pt>
                <c:pt idx="16">
                  <c:v>1.9366364361702217</c:v>
                </c:pt>
                <c:pt idx="17">
                  <c:v>0</c:v>
                </c:pt>
                <c:pt idx="18">
                  <c:v>-9.0748837470680677</c:v>
                </c:pt>
                <c:pt idx="19">
                  <c:v>-13.318296020678464</c:v>
                </c:pt>
                <c:pt idx="20">
                  <c:v>-16.67702664059841</c:v>
                </c:pt>
                <c:pt idx="21">
                  <c:v>-19.702578230865729</c:v>
                </c:pt>
                <c:pt idx="22">
                  <c:v>-22.558572898799309</c:v>
                </c:pt>
                <c:pt idx="23">
                  <c:v>-25.319023793892139</c:v>
                </c:pt>
                <c:pt idx="24">
                  <c:v>-28.04955803420123</c:v>
                </c:pt>
                <c:pt idx="25">
                  <c:v>-30.742031578947415</c:v>
                </c:pt>
                <c:pt idx="26">
                  <c:v>-33.406793690551694</c:v>
                </c:pt>
                <c:pt idx="27">
                  <c:v>-36.086856585890516</c:v>
                </c:pt>
                <c:pt idx="28">
                  <c:v>-41.505805628845877</c:v>
                </c:pt>
                <c:pt idx="29">
                  <c:v>-47.054960048986288</c:v>
                </c:pt>
                <c:pt idx="30">
                  <c:v>-52.801087440468123</c:v>
                </c:pt>
                <c:pt idx="31">
                  <c:v>-58.83228246790938</c:v>
                </c:pt>
                <c:pt idx="32">
                  <c:v>-65.358148002045553</c:v>
                </c:pt>
                <c:pt idx="33">
                  <c:v>-71.932138527284764</c:v>
                </c:pt>
                <c:pt idx="34">
                  <c:v>-79.222062121870479</c:v>
                </c:pt>
                <c:pt idx="35">
                  <c:v>-86.609150414782434</c:v>
                </c:pt>
                <c:pt idx="36">
                  <c:v>-94.878659939516822</c:v>
                </c:pt>
                <c:pt idx="37">
                  <c:v>-103.44948793402594</c:v>
                </c:pt>
                <c:pt idx="38">
                  <c:v>-112.847423513065</c:v>
                </c:pt>
                <c:pt idx="39">
                  <c:v>-123.04589995857751</c:v>
                </c:pt>
                <c:pt idx="40">
                  <c:v>-133.8818914524598</c:v>
                </c:pt>
                <c:pt idx="41">
                  <c:v>-145.89002903692295</c:v>
                </c:pt>
                <c:pt idx="42">
                  <c:v>-159.10974056523</c:v>
                </c:pt>
                <c:pt idx="43">
                  <c:v>-197.88538315069593</c:v>
                </c:pt>
                <c:pt idx="44" formatCode="0">
                  <c:v>-249.78525447390911</c:v>
                </c:pt>
                <c:pt idx="45" formatCode="0">
                  <c:v>-324.30878664496953</c:v>
                </c:pt>
                <c:pt idx="46" formatCode="0">
                  <c:v>-438.52729154424657</c:v>
                </c:pt>
                <c:pt idx="47" formatCode="0">
                  <c:v>-604.07946411365697</c:v>
                </c:pt>
                <c:pt idx="48" formatCode="0">
                  <c:v>-870.89505284637767</c:v>
                </c:pt>
                <c:pt idx="49" formatCode="0">
                  <c:v>-1340.7314242164236</c:v>
                </c:pt>
                <c:pt idx="50" formatCode="0">
                  <c:v>-2301.46706036261</c:v>
                </c:pt>
                <c:pt idx="51" formatCode="0">
                  <c:v>-4598.9988258038184</c:v>
                </c:pt>
                <c:pt idx="52" formatCode="0">
                  <c:v>-13436.297683894623</c:v>
                </c:pt>
              </c:numCache>
            </c:numRef>
          </c:xVal>
          <c:yVal>
            <c:numRef>
              <c:f>BPkW_Si!$F$21:$F$73</c:f>
              <c:numCache>
                <c:formatCode>0.00</c:formatCode>
                <c:ptCount val="53"/>
                <c:pt idx="1">
                  <c:v>0.1</c:v>
                </c:pt>
                <c:pt idx="2">
                  <c:v>0.2</c:v>
                </c:pt>
                <c:pt idx="3">
                  <c:v>0.3</c:v>
                </c:pt>
                <c:pt idx="4">
                  <c:v>0.4</c:v>
                </c:pt>
                <c:pt idx="5">
                  <c:v>0.5</c:v>
                </c:pt>
                <c:pt idx="6">
                  <c:v>0.6</c:v>
                </c:pt>
                <c:pt idx="7">
                  <c:v>0.7</c:v>
                </c:pt>
                <c:pt idx="8">
                  <c:v>0.8</c:v>
                </c:pt>
                <c:pt idx="9">
                  <c:v>0.85</c:v>
                </c:pt>
                <c:pt idx="10">
                  <c:v>0.9</c:v>
                </c:pt>
                <c:pt idx="11">
                  <c:v>0.92</c:v>
                </c:pt>
                <c:pt idx="12">
                  <c:v>0.94</c:v>
                </c:pt>
                <c:pt idx="13">
                  <c:v>0.96</c:v>
                </c:pt>
                <c:pt idx="14">
                  <c:v>0.97</c:v>
                </c:pt>
                <c:pt idx="15">
                  <c:v>0.98</c:v>
                </c:pt>
                <c:pt idx="16">
                  <c:v>0.99</c:v>
                </c:pt>
                <c:pt idx="17" formatCode="0.0">
                  <c:v>1</c:v>
                </c:pt>
                <c:pt idx="18">
                  <c:v>0.99</c:v>
                </c:pt>
                <c:pt idx="19">
                  <c:v>0.98</c:v>
                </c:pt>
                <c:pt idx="20">
                  <c:v>0.97</c:v>
                </c:pt>
                <c:pt idx="21">
                  <c:v>0.96</c:v>
                </c:pt>
                <c:pt idx="22">
                  <c:v>0.95</c:v>
                </c:pt>
                <c:pt idx="23">
                  <c:v>0.94</c:v>
                </c:pt>
                <c:pt idx="24">
                  <c:v>0.92999999999999994</c:v>
                </c:pt>
                <c:pt idx="25">
                  <c:v>0.91999999999999993</c:v>
                </c:pt>
                <c:pt idx="26">
                  <c:v>0.90999999999999992</c:v>
                </c:pt>
                <c:pt idx="27">
                  <c:v>0.89999999999999991</c:v>
                </c:pt>
                <c:pt idx="28">
                  <c:v>0.87999999999999989</c:v>
                </c:pt>
                <c:pt idx="29">
                  <c:v>0.85999999999999988</c:v>
                </c:pt>
                <c:pt idx="30">
                  <c:v>0.83999999999999986</c:v>
                </c:pt>
                <c:pt idx="31">
                  <c:v>0.81999999999999984</c:v>
                </c:pt>
                <c:pt idx="32">
                  <c:v>0.79999999999999982</c:v>
                </c:pt>
                <c:pt idx="33">
                  <c:v>0.7799999999999998</c:v>
                </c:pt>
                <c:pt idx="34">
                  <c:v>0.75999999999999979</c:v>
                </c:pt>
                <c:pt idx="35">
                  <c:v>0.73999999999999977</c:v>
                </c:pt>
                <c:pt idx="36">
                  <c:v>0.71999999999999975</c:v>
                </c:pt>
                <c:pt idx="37">
                  <c:v>0.69999999999999973</c:v>
                </c:pt>
                <c:pt idx="38">
                  <c:v>0.67999999999999972</c:v>
                </c:pt>
                <c:pt idx="39">
                  <c:v>0.6599999999999997</c:v>
                </c:pt>
                <c:pt idx="40">
                  <c:v>0.63999999999999968</c:v>
                </c:pt>
                <c:pt idx="41">
                  <c:v>0.61999999999999966</c:v>
                </c:pt>
                <c:pt idx="42">
                  <c:v>0.59999999999999964</c:v>
                </c:pt>
                <c:pt idx="43">
                  <c:v>0.5499999999999996</c:v>
                </c:pt>
                <c:pt idx="44">
                  <c:v>0.49999999999999961</c:v>
                </c:pt>
                <c:pt idx="45">
                  <c:v>0.44999999999999962</c:v>
                </c:pt>
                <c:pt idx="46">
                  <c:v>0.39999999999999963</c:v>
                </c:pt>
                <c:pt idx="47">
                  <c:v>0.34999999999999964</c:v>
                </c:pt>
                <c:pt idx="48">
                  <c:v>0.29999999999999966</c:v>
                </c:pt>
                <c:pt idx="49">
                  <c:v>0.24999999999999967</c:v>
                </c:pt>
                <c:pt idx="50">
                  <c:v>0.19999999999999968</c:v>
                </c:pt>
                <c:pt idx="51">
                  <c:v>0.14999999999999969</c:v>
                </c:pt>
                <c:pt idx="52">
                  <c:v>9.9999999999999686E-2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BPkW_Si!$Y$4</c:f>
              <c:strCache>
                <c:ptCount val="1"/>
                <c:pt idx="0">
                  <c:v>132Xe</c:v>
                </c:pt>
              </c:strCache>
            </c:strRef>
          </c:tx>
          <c:spPr>
            <a:ln>
              <a:solidFill>
                <a:srgbClr val="008000"/>
              </a:solidFill>
            </a:ln>
          </c:spPr>
          <c:marker>
            <c:symbol val="circle"/>
            <c:size val="3"/>
            <c:spPr>
              <a:solidFill>
                <a:srgbClr val="008000"/>
              </a:solidFill>
              <a:ln>
                <a:noFill/>
              </a:ln>
            </c:spPr>
          </c:marker>
          <c:xVal>
            <c:numRef>
              <c:f>BPkW_Si!$AB$21:$AB$73</c:f>
              <c:numCache>
                <c:formatCode>0.0</c:formatCode>
                <c:ptCount val="53"/>
                <c:pt idx="0">
                  <c:v>41.54</c:v>
                </c:pt>
                <c:pt idx="1">
                  <c:v>41.523058778625952</c:v>
                </c:pt>
                <c:pt idx="2">
                  <c:v>39.421183823529411</c:v>
                </c:pt>
                <c:pt idx="3">
                  <c:v>36.960982731554161</c:v>
                </c:pt>
                <c:pt idx="4">
                  <c:v>34.811543509731379</c:v>
                </c:pt>
                <c:pt idx="5">
                  <c:v>32.611941390014209</c:v>
                </c:pt>
                <c:pt idx="6">
                  <c:v>30.088150539303172</c:v>
                </c:pt>
                <c:pt idx="7">
                  <c:v>27.062895827866704</c:v>
                </c:pt>
                <c:pt idx="8">
                  <c:v>23.317557454890782</c:v>
                </c:pt>
                <c:pt idx="9">
                  <c:v>21.036461308062457</c:v>
                </c:pt>
                <c:pt idx="10">
                  <c:v>18.267324328441575</c:v>
                </c:pt>
                <c:pt idx="11">
                  <c:v>16.991215657507066</c:v>
                </c:pt>
                <c:pt idx="12">
                  <c:v>15.565730935749357</c:v>
                </c:pt>
                <c:pt idx="13">
                  <c:v>13.892763548387126</c:v>
                </c:pt>
                <c:pt idx="14">
                  <c:v>12.606564596774199</c:v>
                </c:pt>
                <c:pt idx="15">
                  <c:v>10.157485989304824</c:v>
                </c:pt>
                <c:pt idx="16">
                  <c:v>7.8339979388770118</c:v>
                </c:pt>
                <c:pt idx="17">
                  <c:v>0</c:v>
                </c:pt>
                <c:pt idx="18">
                  <c:v>-7.3423626849361341</c:v>
                </c:pt>
                <c:pt idx="19">
                  <c:v>-11.529521608324821</c:v>
                </c:pt>
                <c:pt idx="20">
                  <c:v>-15.054716509855787</c:v>
                </c:pt>
                <c:pt idx="21">
                  <c:v>-18.457281671086996</c:v>
                </c:pt>
                <c:pt idx="22">
                  <c:v>-21.620633577043236</c:v>
                </c:pt>
                <c:pt idx="23">
                  <c:v>-24.74347999862696</c:v>
                </c:pt>
                <c:pt idx="24">
                  <c:v>-27.823297457453769</c:v>
                </c:pt>
                <c:pt idx="25">
                  <c:v>-30.889117466560229</c:v>
                </c:pt>
                <c:pt idx="26">
                  <c:v>-33.988543633978374</c:v>
                </c:pt>
                <c:pt idx="27">
                  <c:v>-37.113408986553004</c:v>
                </c:pt>
                <c:pt idx="28">
                  <c:v>-43.52954403511108</c:v>
                </c:pt>
                <c:pt idx="29">
                  <c:v>-50.227056456518078</c:v>
                </c:pt>
                <c:pt idx="30">
                  <c:v>-57.295599258226439</c:v>
                </c:pt>
                <c:pt idx="31">
                  <c:v>-64.762744351424857</c:v>
                </c:pt>
                <c:pt idx="32">
                  <c:v>-72.7032762023793</c:v>
                </c:pt>
                <c:pt idx="33">
                  <c:v>-81.251887886000986</c:v>
                </c:pt>
                <c:pt idx="34">
                  <c:v>-90.390349180936767</c:v>
                </c:pt>
                <c:pt idx="35">
                  <c:v>-100.50063857993194</c:v>
                </c:pt>
                <c:pt idx="36">
                  <c:v>-111.07912142622109</c:v>
                </c:pt>
                <c:pt idx="37">
                  <c:v>-122.9179239658545</c:v>
                </c:pt>
                <c:pt idx="38">
                  <c:v>-135.3857894086982</c:v>
                </c:pt>
                <c:pt idx="39">
                  <c:v>-149.18611103203483</c:v>
                </c:pt>
                <c:pt idx="40">
                  <c:v>-164.39739874529516</c:v>
                </c:pt>
                <c:pt idx="41">
                  <c:v>-180.67614520662855</c:v>
                </c:pt>
                <c:pt idx="42">
                  <c:v>-199.01222391328022</c:v>
                </c:pt>
                <c:pt idx="43">
                  <c:v>-253.53670198855278</c:v>
                </c:pt>
                <c:pt idx="44" formatCode="0">
                  <c:v>-326.98115718961662</c:v>
                </c:pt>
                <c:pt idx="45" formatCode="0">
                  <c:v>-430.02269078351549</c:v>
                </c:pt>
                <c:pt idx="46" formatCode="0">
                  <c:v>-577.91411661637437</c:v>
                </c:pt>
                <c:pt idx="47" formatCode="0">
                  <c:v>-805.76865718362694</c:v>
                </c:pt>
                <c:pt idx="48" formatCode="0">
                  <c:v>-1173.0633276247327</c:v>
                </c:pt>
                <c:pt idx="49" formatCode="0">
                  <c:v>-1826.2633464885994</c:v>
                </c:pt>
                <c:pt idx="50" formatCode="0">
                  <c:v>-3191.1464076734892</c:v>
                </c:pt>
                <c:pt idx="51" formatCode="0">
                  <c:v>-6777.920724209891</c:v>
                </c:pt>
                <c:pt idx="52" formatCode="0">
                  <c:v>-23097.703036335868</c:v>
                </c:pt>
              </c:numCache>
            </c:numRef>
          </c:xVal>
          <c:yVal>
            <c:numRef>
              <c:f>BPkW_Si!$F$21:$F$73</c:f>
              <c:numCache>
                <c:formatCode>0.00</c:formatCode>
                <c:ptCount val="53"/>
                <c:pt idx="1">
                  <c:v>0.1</c:v>
                </c:pt>
                <c:pt idx="2">
                  <c:v>0.2</c:v>
                </c:pt>
                <c:pt idx="3">
                  <c:v>0.3</c:v>
                </c:pt>
                <c:pt idx="4">
                  <c:v>0.4</c:v>
                </c:pt>
                <c:pt idx="5">
                  <c:v>0.5</c:v>
                </c:pt>
                <c:pt idx="6">
                  <c:v>0.6</c:v>
                </c:pt>
                <c:pt idx="7">
                  <c:v>0.7</c:v>
                </c:pt>
                <c:pt idx="8">
                  <c:v>0.8</c:v>
                </c:pt>
                <c:pt idx="9">
                  <c:v>0.85</c:v>
                </c:pt>
                <c:pt idx="10">
                  <c:v>0.9</c:v>
                </c:pt>
                <c:pt idx="11">
                  <c:v>0.92</c:v>
                </c:pt>
                <c:pt idx="12">
                  <c:v>0.94</c:v>
                </c:pt>
                <c:pt idx="13">
                  <c:v>0.96</c:v>
                </c:pt>
                <c:pt idx="14">
                  <c:v>0.97</c:v>
                </c:pt>
                <c:pt idx="15">
                  <c:v>0.98</c:v>
                </c:pt>
                <c:pt idx="16">
                  <c:v>0.99</c:v>
                </c:pt>
                <c:pt idx="17" formatCode="0.0">
                  <c:v>1</c:v>
                </c:pt>
                <c:pt idx="18">
                  <c:v>0.99</c:v>
                </c:pt>
                <c:pt idx="19">
                  <c:v>0.98</c:v>
                </c:pt>
                <c:pt idx="20">
                  <c:v>0.97</c:v>
                </c:pt>
                <c:pt idx="21">
                  <c:v>0.96</c:v>
                </c:pt>
                <c:pt idx="22">
                  <c:v>0.95</c:v>
                </c:pt>
                <c:pt idx="23">
                  <c:v>0.94</c:v>
                </c:pt>
                <c:pt idx="24">
                  <c:v>0.92999999999999994</c:v>
                </c:pt>
                <c:pt idx="25">
                  <c:v>0.91999999999999993</c:v>
                </c:pt>
                <c:pt idx="26">
                  <c:v>0.90999999999999992</c:v>
                </c:pt>
                <c:pt idx="27">
                  <c:v>0.89999999999999991</c:v>
                </c:pt>
                <c:pt idx="28">
                  <c:v>0.87999999999999989</c:v>
                </c:pt>
                <c:pt idx="29">
                  <c:v>0.85999999999999988</c:v>
                </c:pt>
                <c:pt idx="30">
                  <c:v>0.83999999999999986</c:v>
                </c:pt>
                <c:pt idx="31">
                  <c:v>0.81999999999999984</c:v>
                </c:pt>
                <c:pt idx="32">
                  <c:v>0.79999999999999982</c:v>
                </c:pt>
                <c:pt idx="33">
                  <c:v>0.7799999999999998</c:v>
                </c:pt>
                <c:pt idx="34">
                  <c:v>0.75999999999999979</c:v>
                </c:pt>
                <c:pt idx="35">
                  <c:v>0.73999999999999977</c:v>
                </c:pt>
                <c:pt idx="36">
                  <c:v>0.71999999999999975</c:v>
                </c:pt>
                <c:pt idx="37">
                  <c:v>0.69999999999999973</c:v>
                </c:pt>
                <c:pt idx="38">
                  <c:v>0.67999999999999972</c:v>
                </c:pt>
                <c:pt idx="39">
                  <c:v>0.6599999999999997</c:v>
                </c:pt>
                <c:pt idx="40">
                  <c:v>0.63999999999999968</c:v>
                </c:pt>
                <c:pt idx="41">
                  <c:v>0.61999999999999966</c:v>
                </c:pt>
                <c:pt idx="42">
                  <c:v>0.59999999999999964</c:v>
                </c:pt>
                <c:pt idx="43">
                  <c:v>0.5499999999999996</c:v>
                </c:pt>
                <c:pt idx="44">
                  <c:v>0.49999999999999961</c:v>
                </c:pt>
                <c:pt idx="45">
                  <c:v>0.44999999999999962</c:v>
                </c:pt>
                <c:pt idx="46">
                  <c:v>0.39999999999999963</c:v>
                </c:pt>
                <c:pt idx="47">
                  <c:v>0.34999999999999964</c:v>
                </c:pt>
                <c:pt idx="48">
                  <c:v>0.29999999999999966</c:v>
                </c:pt>
                <c:pt idx="49">
                  <c:v>0.24999999999999967</c:v>
                </c:pt>
                <c:pt idx="50">
                  <c:v>0.19999999999999968</c:v>
                </c:pt>
                <c:pt idx="51">
                  <c:v>0.14999999999999969</c:v>
                </c:pt>
                <c:pt idx="52">
                  <c:v>9.9999999999999686E-2</c:v>
                </c:pt>
              </c:numCache>
            </c:numRef>
          </c:yVal>
          <c:smooth val="0"/>
        </c:ser>
        <c:ser>
          <c:idx val="3"/>
          <c:order val="3"/>
          <c:tx>
            <c:strRef>
              <c:f>BPkW_Si!$AH$4</c:f>
              <c:strCache>
                <c:ptCount val="1"/>
                <c:pt idx="0">
                  <c:v>197Au</c:v>
                </c:pt>
              </c:strCache>
            </c:strRef>
          </c:tx>
          <c:spPr>
            <a:ln>
              <a:solidFill>
                <a:srgbClr val="7030A0"/>
              </a:solidFill>
            </a:ln>
          </c:spPr>
          <c:marker>
            <c:symbol val="circle"/>
            <c:size val="3"/>
            <c:spPr>
              <a:solidFill>
                <a:srgbClr val="7030A0"/>
              </a:solidFill>
              <a:ln>
                <a:noFill/>
              </a:ln>
            </c:spPr>
          </c:marker>
          <c:xVal>
            <c:numRef>
              <c:f>BPkW_Si!$AK$21:$AK$73</c:f>
              <c:numCache>
                <c:formatCode>0.0</c:formatCode>
                <c:ptCount val="53"/>
                <c:pt idx="0">
                  <c:v>51.65</c:v>
                </c:pt>
                <c:pt idx="1">
                  <c:v>51.629268466476461</c:v>
                </c:pt>
                <c:pt idx="2">
                  <c:v>51.481142163265304</c:v>
                </c:pt>
                <c:pt idx="3">
                  <c:v>42.575060999999998</c:v>
                </c:pt>
                <c:pt idx="4">
                  <c:v>39.825847766990286</c:v>
                </c:pt>
                <c:pt idx="5">
                  <c:v>37.213530842230128</c:v>
                </c:pt>
                <c:pt idx="6">
                  <c:v>34.438415605029029</c:v>
                </c:pt>
                <c:pt idx="7">
                  <c:v>31.207670556247873</c:v>
                </c:pt>
                <c:pt idx="8">
                  <c:v>27.114117515623356</c:v>
                </c:pt>
                <c:pt idx="9">
                  <c:v>24.576730672532992</c:v>
                </c:pt>
                <c:pt idx="10">
                  <c:v>21.485936998006256</c:v>
                </c:pt>
                <c:pt idx="11">
                  <c:v>20.023095313994254</c:v>
                </c:pt>
                <c:pt idx="12">
                  <c:v>18.344382164276404</c:v>
                </c:pt>
                <c:pt idx="13">
                  <c:v>15.784756150593878</c:v>
                </c:pt>
                <c:pt idx="14">
                  <c:v>13.552375682382106</c:v>
                </c:pt>
                <c:pt idx="15">
                  <c:v>11.428499119695161</c:v>
                </c:pt>
                <c:pt idx="16">
                  <c:v>8.2926587111277144</c:v>
                </c:pt>
                <c:pt idx="17">
                  <c:v>0</c:v>
                </c:pt>
                <c:pt idx="18">
                  <c:v>-12.055531475028992</c:v>
                </c:pt>
                <c:pt idx="19">
                  <c:v>-18.337286656630589</c:v>
                </c:pt>
                <c:pt idx="20">
                  <c:v>-23.756820256410215</c:v>
                </c:pt>
                <c:pt idx="21">
                  <c:v>-28.928275625704593</c:v>
                </c:pt>
                <c:pt idx="22">
                  <c:v>-33.995512385628167</c:v>
                </c:pt>
                <c:pt idx="23">
                  <c:v>-39.067297537272204</c:v>
                </c:pt>
                <c:pt idx="24">
                  <c:v>-44.178038884419458</c:v>
                </c:pt>
                <c:pt idx="25">
                  <c:v>-49.450102188111295</c:v>
                </c:pt>
                <c:pt idx="26">
                  <c:v>-54.836165280748496</c:v>
                </c:pt>
                <c:pt idx="27">
                  <c:v>-60.407757649335146</c:v>
                </c:pt>
                <c:pt idx="28">
                  <c:v>-71.976721350027702</c:v>
                </c:pt>
                <c:pt idx="29">
                  <c:v>-84.378574509279275</c:v>
                </c:pt>
                <c:pt idx="30">
                  <c:v>-97.751057441716199</c:v>
                </c:pt>
                <c:pt idx="31">
                  <c:v>-112.21333586355169</c:v>
                </c:pt>
                <c:pt idx="32">
                  <c:v>-127.63027559220785</c:v>
                </c:pt>
                <c:pt idx="33">
                  <c:v>-144.20388529843865</c:v>
                </c:pt>
                <c:pt idx="34">
                  <c:v>-161.81624091883438</c:v>
                </c:pt>
                <c:pt idx="35">
                  <c:v>-180.72131647277047</c:v>
                </c:pt>
                <c:pt idx="36">
                  <c:v>-200.13909691416069</c:v>
                </c:pt>
                <c:pt idx="37">
                  <c:v>-221.17717243303017</c:v>
                </c:pt>
                <c:pt idx="38">
                  <c:v>-243.09727618042015</c:v>
                </c:pt>
                <c:pt idx="39">
                  <c:v>-265.93086914779667</c:v>
                </c:pt>
                <c:pt idx="40">
                  <c:v>-291.35443807025541</c:v>
                </c:pt>
                <c:pt idx="41">
                  <c:v>-322.38295169481097</c:v>
                </c:pt>
                <c:pt idx="42">
                  <c:v>-358.91098513904831</c:v>
                </c:pt>
                <c:pt idx="43">
                  <c:v>-469.70247476990266</c:v>
                </c:pt>
                <c:pt idx="44" formatCode="0">
                  <c:v>-617.20599133277813</c:v>
                </c:pt>
                <c:pt idx="45" formatCode="0">
                  <c:v>-822.46993975231658</c:v>
                </c:pt>
                <c:pt idx="46" formatCode="0">
                  <c:v>-1126.2702643641423</c:v>
                </c:pt>
                <c:pt idx="47" formatCode="0">
                  <c:v>-1595.8145253220962</c:v>
                </c:pt>
                <c:pt idx="48" formatCode="0">
                  <c:v>-2388.8108306316103</c:v>
                </c:pt>
                <c:pt idx="49" formatCode="0">
                  <c:v>-3864.0373712128767</c:v>
                </c:pt>
                <c:pt idx="50" formatCode="0">
                  <c:v>-7246.7544182635429</c:v>
                </c:pt>
                <c:pt idx="51" formatCode="0">
                  <c:v>-18435.223108658782</c:v>
                </c:pt>
              </c:numCache>
            </c:numRef>
          </c:xVal>
          <c:yVal>
            <c:numRef>
              <c:f>BPkW_Si!$F$21:$F$73</c:f>
              <c:numCache>
                <c:formatCode>0.00</c:formatCode>
                <c:ptCount val="53"/>
                <c:pt idx="1">
                  <c:v>0.1</c:v>
                </c:pt>
                <c:pt idx="2">
                  <c:v>0.2</c:v>
                </c:pt>
                <c:pt idx="3">
                  <c:v>0.3</c:v>
                </c:pt>
                <c:pt idx="4">
                  <c:v>0.4</c:v>
                </c:pt>
                <c:pt idx="5">
                  <c:v>0.5</c:v>
                </c:pt>
                <c:pt idx="6">
                  <c:v>0.6</c:v>
                </c:pt>
                <c:pt idx="7">
                  <c:v>0.7</c:v>
                </c:pt>
                <c:pt idx="8">
                  <c:v>0.8</c:v>
                </c:pt>
                <c:pt idx="9">
                  <c:v>0.85</c:v>
                </c:pt>
                <c:pt idx="10">
                  <c:v>0.9</c:v>
                </c:pt>
                <c:pt idx="11">
                  <c:v>0.92</c:v>
                </c:pt>
                <c:pt idx="12">
                  <c:v>0.94</c:v>
                </c:pt>
                <c:pt idx="13">
                  <c:v>0.96</c:v>
                </c:pt>
                <c:pt idx="14">
                  <c:v>0.97</c:v>
                </c:pt>
                <c:pt idx="15">
                  <c:v>0.98</c:v>
                </c:pt>
                <c:pt idx="16">
                  <c:v>0.99</c:v>
                </c:pt>
                <c:pt idx="17" formatCode="0.0">
                  <c:v>1</c:v>
                </c:pt>
                <c:pt idx="18">
                  <c:v>0.99</c:v>
                </c:pt>
                <c:pt idx="19">
                  <c:v>0.98</c:v>
                </c:pt>
                <c:pt idx="20">
                  <c:v>0.97</c:v>
                </c:pt>
                <c:pt idx="21">
                  <c:v>0.96</c:v>
                </c:pt>
                <c:pt idx="22">
                  <c:v>0.95</c:v>
                </c:pt>
                <c:pt idx="23">
                  <c:v>0.94</c:v>
                </c:pt>
                <c:pt idx="24">
                  <c:v>0.92999999999999994</c:v>
                </c:pt>
                <c:pt idx="25">
                  <c:v>0.91999999999999993</c:v>
                </c:pt>
                <c:pt idx="26">
                  <c:v>0.90999999999999992</c:v>
                </c:pt>
                <c:pt idx="27">
                  <c:v>0.89999999999999991</c:v>
                </c:pt>
                <c:pt idx="28">
                  <c:v>0.87999999999999989</c:v>
                </c:pt>
                <c:pt idx="29">
                  <c:v>0.85999999999999988</c:v>
                </c:pt>
                <c:pt idx="30">
                  <c:v>0.83999999999999986</c:v>
                </c:pt>
                <c:pt idx="31">
                  <c:v>0.81999999999999984</c:v>
                </c:pt>
                <c:pt idx="32">
                  <c:v>0.79999999999999982</c:v>
                </c:pt>
                <c:pt idx="33">
                  <c:v>0.7799999999999998</c:v>
                </c:pt>
                <c:pt idx="34">
                  <c:v>0.75999999999999979</c:v>
                </c:pt>
                <c:pt idx="35">
                  <c:v>0.73999999999999977</c:v>
                </c:pt>
                <c:pt idx="36">
                  <c:v>0.71999999999999975</c:v>
                </c:pt>
                <c:pt idx="37">
                  <c:v>0.69999999999999973</c:v>
                </c:pt>
                <c:pt idx="38">
                  <c:v>0.67999999999999972</c:v>
                </c:pt>
                <c:pt idx="39">
                  <c:v>0.6599999999999997</c:v>
                </c:pt>
                <c:pt idx="40">
                  <c:v>0.63999999999999968</c:v>
                </c:pt>
                <c:pt idx="41">
                  <c:v>0.61999999999999966</c:v>
                </c:pt>
                <c:pt idx="42">
                  <c:v>0.59999999999999964</c:v>
                </c:pt>
                <c:pt idx="43">
                  <c:v>0.5499999999999996</c:v>
                </c:pt>
                <c:pt idx="44">
                  <c:v>0.49999999999999961</c:v>
                </c:pt>
                <c:pt idx="45">
                  <c:v>0.44999999999999962</c:v>
                </c:pt>
                <c:pt idx="46">
                  <c:v>0.39999999999999963</c:v>
                </c:pt>
                <c:pt idx="47">
                  <c:v>0.34999999999999964</c:v>
                </c:pt>
                <c:pt idx="48">
                  <c:v>0.29999999999999966</c:v>
                </c:pt>
                <c:pt idx="49">
                  <c:v>0.24999999999999967</c:v>
                </c:pt>
                <c:pt idx="50">
                  <c:v>0.19999999999999968</c:v>
                </c:pt>
                <c:pt idx="51">
                  <c:v>0.14999999999999969</c:v>
                </c:pt>
                <c:pt idx="52">
                  <c:v>9.9999999999999686E-2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4142440"/>
        <c:axId val="454116568"/>
      </c:scatterChart>
      <c:valAx>
        <c:axId val="454142440"/>
        <c:scaling>
          <c:orientation val="minMax"/>
          <c:max val="100"/>
          <c:min val="-200"/>
        </c:scaling>
        <c:delete val="0"/>
        <c:axPos val="b"/>
        <c:majorGridlines>
          <c:spPr>
            <a:ln>
              <a:solidFill>
                <a:schemeClr val="tx2">
                  <a:lumMod val="40000"/>
                  <a:lumOff val="60000"/>
                </a:schemeClr>
              </a:solidFill>
              <a:prstDash val="dash"/>
            </a:ln>
          </c:spPr>
        </c:majorGridlines>
        <c:title>
          <c:tx>
            <c:strRef>
              <c:f>BPkW_Si!$C$85</c:f>
              <c:strCache>
                <c:ptCount val="1"/>
                <c:pt idx="0">
                  <c:v>Thick [μm] Si</c:v>
                </c:pt>
              </c:strCache>
            </c:strRef>
          </c:tx>
          <c:layout>
            <c:manualLayout>
              <c:xMode val="edge"/>
              <c:yMode val="edge"/>
              <c:x val="0.47687998622940025"/>
              <c:y val="0.93185149451327376"/>
            </c:manualLayout>
          </c:layout>
          <c:overlay val="0"/>
          <c:spPr>
            <a:solidFill>
              <a:schemeClr val="bg1"/>
            </a:solidFill>
          </c:spPr>
          <c:txPr>
            <a:bodyPr/>
            <a:lstStyle/>
            <a:p>
              <a:pPr>
                <a:defRPr sz="1200">
                  <a:solidFill>
                    <a:schemeClr val="tx1"/>
                  </a:solidFill>
                </a:defRPr>
              </a:pPr>
              <a:endParaRPr lang="ja-JP"/>
            </a:p>
          </c:txPr>
        </c:title>
        <c:numFmt formatCode="0_ " sourceLinked="0"/>
        <c:majorTickMark val="cross"/>
        <c:minorTickMark val="out"/>
        <c:tickLblPos val="nextTo"/>
        <c:txPr>
          <a:bodyPr/>
          <a:lstStyle/>
          <a:p>
            <a:pPr>
              <a:defRPr sz="1100">
                <a:latin typeface="+mn-ea"/>
                <a:ea typeface="+mn-ea"/>
              </a:defRPr>
            </a:pPr>
            <a:endParaRPr lang="ja-JP"/>
          </a:p>
        </c:txPr>
        <c:crossAx val="454116568"/>
        <c:crosses val="autoZero"/>
        <c:crossBetween val="midCat"/>
        <c:majorUnit val="50"/>
      </c:valAx>
      <c:valAx>
        <c:axId val="454116568"/>
        <c:scaling>
          <c:orientation val="minMax"/>
          <c:max val="1"/>
          <c:min val="0.5"/>
        </c:scaling>
        <c:delete val="0"/>
        <c:axPos val="l"/>
        <c:majorGridlines>
          <c:spPr>
            <a:ln>
              <a:solidFill>
                <a:schemeClr val="tx2">
                  <a:lumMod val="40000"/>
                  <a:lumOff val="60000"/>
                </a:schemeClr>
              </a:solidFill>
              <a:prstDash val="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altLang="en-US" sz="1200"/>
                  <a:t>max LETt </a:t>
                </a:r>
                <a:r>
                  <a:rPr lang="en-US" altLang="en-US" sz="1200" baseline="0">
                    <a:solidFill>
                      <a:srgbClr val="FF0000"/>
                    </a:solidFill>
                  </a:rPr>
                  <a:t> raitio</a:t>
                </a:r>
                <a:endParaRPr lang="en-US" altLang="en-US" sz="1200">
                  <a:solidFill>
                    <a:srgbClr val="FF0000"/>
                  </a:solidFill>
                </a:endParaRPr>
              </a:p>
            </c:rich>
          </c:tx>
          <c:layout>
            <c:manualLayout>
              <c:xMode val="edge"/>
              <c:yMode val="edge"/>
              <c:x val="0.90347670224071619"/>
              <c:y val="0.30938257782030953"/>
            </c:manualLayout>
          </c:layout>
          <c:overlay val="0"/>
        </c:title>
        <c:numFmt formatCode="0.0_ " sourceLinked="0"/>
        <c:majorTickMark val="cross"/>
        <c:minorTickMark val="out"/>
        <c:tickLblPos val="nextTo"/>
        <c:txPr>
          <a:bodyPr/>
          <a:lstStyle/>
          <a:p>
            <a:pPr>
              <a:defRPr sz="1100"/>
            </a:pPr>
            <a:endParaRPr lang="ja-JP"/>
          </a:p>
        </c:txPr>
        <c:crossAx val="454142440"/>
        <c:crossesAt val="0"/>
        <c:crossBetween val="midCat"/>
        <c:majorUnit val="0.1"/>
      </c:valAx>
    </c:plotArea>
    <c:legend>
      <c:legendPos val="r"/>
      <c:layout>
        <c:manualLayout>
          <c:xMode val="edge"/>
          <c:yMode val="edge"/>
          <c:x val="9.8723132362406263E-2"/>
          <c:y val="9.859729018944946E-2"/>
          <c:w val="0.22996875"/>
          <c:h val="0.15542407407407408"/>
        </c:manualLayout>
      </c:layout>
      <c:overlay val="0"/>
      <c:spPr>
        <a:solidFill>
          <a:schemeClr val="bg1"/>
        </a:solidFill>
      </c:sp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50">
          <a:latin typeface="+mn-ea"/>
          <a:ea typeface="+mn-ea"/>
        </a:defRPr>
      </a:pPr>
      <a:endParaRPr lang="ja-JP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BPkW_Si!$C$80</c:f>
          <c:strCache>
            <c:ptCount val="1"/>
            <c:pt idx="0">
              <c:v>max LETt norm. wid</c:v>
            </c:pt>
          </c:strCache>
        </c:strRef>
      </c:tx>
      <c:layout>
        <c:manualLayout>
          <c:xMode val="edge"/>
          <c:yMode val="edge"/>
          <c:x val="6.3930378005864263E-2"/>
          <c:y val="5.4887999127866431E-3"/>
        </c:manualLayout>
      </c:layout>
      <c:overlay val="0"/>
      <c:txPr>
        <a:bodyPr/>
        <a:lstStyle/>
        <a:p>
          <a:pPr>
            <a:defRPr sz="1400"/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6.1844212962962962E-2"/>
          <c:y val="5.4289891946211082E-2"/>
          <c:w val="0.8070842592592592"/>
          <c:h val="0.82133726851851852"/>
        </c:manualLayout>
      </c:layout>
      <c:scatterChart>
        <c:scatterStyle val="smoothMarker"/>
        <c:varyColors val="0"/>
        <c:ser>
          <c:idx val="0"/>
          <c:order val="0"/>
          <c:tx>
            <c:strRef>
              <c:f>BPkW_Si!$G$4</c:f>
              <c:strCache>
                <c:ptCount val="1"/>
                <c:pt idx="0">
                  <c:v>40Ar</c:v>
                </c:pt>
              </c:strCache>
            </c:strRef>
          </c:tx>
          <c:spPr>
            <a:ln w="19050" cmpd="sng">
              <a:solidFill>
                <a:srgbClr val="FF0000"/>
              </a:solidFill>
            </a:ln>
          </c:spPr>
          <c:marker>
            <c:symbol val="circle"/>
            <c:size val="3"/>
            <c:spPr>
              <a:solidFill>
                <a:srgbClr val="FF0000"/>
              </a:solidFill>
              <a:ln>
                <a:noFill/>
              </a:ln>
            </c:spPr>
          </c:marker>
          <c:xVal>
            <c:numRef>
              <c:f>BPkW_Si!$L$21:$L$73</c:f>
              <c:numCache>
                <c:formatCode>0.0</c:formatCode>
                <c:ptCount val="53"/>
                <c:pt idx="0">
                  <c:v>12.16</c:v>
                </c:pt>
                <c:pt idx="1">
                  <c:v>12.155712443037975</c:v>
                </c:pt>
                <c:pt idx="2">
                  <c:v>11.797164800000001</c:v>
                </c:pt>
                <c:pt idx="3">
                  <c:v>11.066675433231397</c:v>
                </c:pt>
                <c:pt idx="4">
                  <c:v>10.389454222766219</c:v>
                </c:pt>
                <c:pt idx="5">
                  <c:v>9.6235363673303542</c:v>
                </c:pt>
                <c:pt idx="6">
                  <c:v>8.8019342254246027</c:v>
                </c:pt>
                <c:pt idx="7">
                  <c:v>7.9045326288941524</c:v>
                </c:pt>
                <c:pt idx="8">
                  <c:v>6.8121837160751566</c:v>
                </c:pt>
                <c:pt idx="9">
                  <c:v>6.1270457537746061</c:v>
                </c:pt>
                <c:pt idx="10">
                  <c:v>5.2659737024221451</c:v>
                </c:pt>
                <c:pt idx="11">
                  <c:v>4.8309201041161121</c:v>
                </c:pt>
                <c:pt idx="12">
                  <c:v>4.3102694375108834</c:v>
                </c:pt>
                <c:pt idx="13">
                  <c:v>3.646614202730186</c:v>
                </c:pt>
                <c:pt idx="14">
                  <c:v>3.2152261013002139</c:v>
                </c:pt>
                <c:pt idx="15">
                  <c:v>2.6589058020042078</c:v>
                </c:pt>
                <c:pt idx="16">
                  <c:v>1.9131934934159815</c:v>
                </c:pt>
                <c:pt idx="17">
                  <c:v>0</c:v>
                </c:pt>
                <c:pt idx="18">
                  <c:v>-3.6554899118511557</c:v>
                </c:pt>
                <c:pt idx="19">
                  <c:v>-5.2897655907430057</c:v>
                </c:pt>
                <c:pt idx="20">
                  <c:v>-6.7534288367844226</c:v>
                </c:pt>
                <c:pt idx="21">
                  <c:v>-7.9495601999091505</c:v>
                </c:pt>
                <c:pt idx="22">
                  <c:v>-9.0626913902771804</c:v>
                </c:pt>
                <c:pt idx="23">
                  <c:v>-9.9044345576658763</c:v>
                </c:pt>
                <c:pt idx="24">
                  <c:v>-10.707990545469055</c:v>
                </c:pt>
                <c:pt idx="25">
                  <c:v>-11.558747570633042</c:v>
                </c:pt>
                <c:pt idx="26">
                  <c:v>-12.612580984008613</c:v>
                </c:pt>
                <c:pt idx="27">
                  <c:v>-13.669087669972406</c:v>
                </c:pt>
                <c:pt idx="28">
                  <c:v>-15.835193569164726</c:v>
                </c:pt>
                <c:pt idx="29">
                  <c:v>-18.107915981735189</c:v>
                </c:pt>
                <c:pt idx="30">
                  <c:v>-20.490760692332596</c:v>
                </c:pt>
                <c:pt idx="31">
                  <c:v>-23.089726970150597</c:v>
                </c:pt>
                <c:pt idx="32">
                  <c:v>-25.837949733849531</c:v>
                </c:pt>
                <c:pt idx="33">
                  <c:v>-28.77768187526166</c:v>
                </c:pt>
                <c:pt idx="34">
                  <c:v>-32.018772966936311</c:v>
                </c:pt>
                <c:pt idx="35">
                  <c:v>-35.423741162137517</c:v>
                </c:pt>
                <c:pt idx="36">
                  <c:v>-39.210845824914315</c:v>
                </c:pt>
                <c:pt idx="37">
                  <c:v>-43.080231578120262</c:v>
                </c:pt>
                <c:pt idx="38">
                  <c:v>-47.609310186981617</c:v>
                </c:pt>
                <c:pt idx="39">
                  <c:v>-52.377308255093965</c:v>
                </c:pt>
                <c:pt idx="40">
                  <c:v>-57.55110340091899</c:v>
                </c:pt>
                <c:pt idx="41">
                  <c:v>-63.401068100892076</c:v>
                </c:pt>
                <c:pt idx="42">
                  <c:v>-69.81981784422959</c:v>
                </c:pt>
                <c:pt idx="43">
                  <c:v>-89.109732355111248</c:v>
                </c:pt>
                <c:pt idx="44" formatCode="0">
                  <c:v>-115.24997557617283</c:v>
                </c:pt>
                <c:pt idx="45" formatCode="0">
                  <c:v>-150.37688583369854</c:v>
                </c:pt>
                <c:pt idx="46" formatCode="0">
                  <c:v>-200.45524208981024</c:v>
                </c:pt>
                <c:pt idx="47" formatCode="0">
                  <c:v>-276.5362840183621</c:v>
                </c:pt>
                <c:pt idx="48" formatCode="0">
                  <c:v>-396.20569976763392</c:v>
                </c:pt>
                <c:pt idx="49" formatCode="0">
                  <c:v>-616.01616133120319</c:v>
                </c:pt>
                <c:pt idx="50" formatCode="0">
                  <c:v>-1027.3036842580641</c:v>
                </c:pt>
                <c:pt idx="51" formatCode="0">
                  <c:v>-1970.9232762476001</c:v>
                </c:pt>
                <c:pt idx="52" formatCode="0">
                  <c:v>-5078.526114286823</c:v>
                </c:pt>
              </c:numCache>
            </c:numRef>
          </c:xVal>
          <c:yVal>
            <c:numRef>
              <c:f>BPkW_Si!$F$21:$F$73</c:f>
              <c:numCache>
                <c:formatCode>0.00</c:formatCode>
                <c:ptCount val="53"/>
                <c:pt idx="1">
                  <c:v>0.1</c:v>
                </c:pt>
                <c:pt idx="2">
                  <c:v>0.2</c:v>
                </c:pt>
                <c:pt idx="3">
                  <c:v>0.3</c:v>
                </c:pt>
                <c:pt idx="4">
                  <c:v>0.4</c:v>
                </c:pt>
                <c:pt idx="5">
                  <c:v>0.5</c:v>
                </c:pt>
                <c:pt idx="6">
                  <c:v>0.6</c:v>
                </c:pt>
                <c:pt idx="7">
                  <c:v>0.7</c:v>
                </c:pt>
                <c:pt idx="8">
                  <c:v>0.8</c:v>
                </c:pt>
                <c:pt idx="9">
                  <c:v>0.85</c:v>
                </c:pt>
                <c:pt idx="10">
                  <c:v>0.9</c:v>
                </c:pt>
                <c:pt idx="11">
                  <c:v>0.92</c:v>
                </c:pt>
                <c:pt idx="12">
                  <c:v>0.94</c:v>
                </c:pt>
                <c:pt idx="13">
                  <c:v>0.96</c:v>
                </c:pt>
                <c:pt idx="14">
                  <c:v>0.97</c:v>
                </c:pt>
                <c:pt idx="15">
                  <c:v>0.98</c:v>
                </c:pt>
                <c:pt idx="16">
                  <c:v>0.99</c:v>
                </c:pt>
                <c:pt idx="17" formatCode="0.0">
                  <c:v>1</c:v>
                </c:pt>
                <c:pt idx="18">
                  <c:v>0.99</c:v>
                </c:pt>
                <c:pt idx="19">
                  <c:v>0.98</c:v>
                </c:pt>
                <c:pt idx="20">
                  <c:v>0.97</c:v>
                </c:pt>
                <c:pt idx="21">
                  <c:v>0.96</c:v>
                </c:pt>
                <c:pt idx="22">
                  <c:v>0.95</c:v>
                </c:pt>
                <c:pt idx="23">
                  <c:v>0.94</c:v>
                </c:pt>
                <c:pt idx="24">
                  <c:v>0.92999999999999994</c:v>
                </c:pt>
                <c:pt idx="25">
                  <c:v>0.91999999999999993</c:v>
                </c:pt>
                <c:pt idx="26">
                  <c:v>0.90999999999999992</c:v>
                </c:pt>
                <c:pt idx="27">
                  <c:v>0.89999999999999991</c:v>
                </c:pt>
                <c:pt idx="28">
                  <c:v>0.87999999999999989</c:v>
                </c:pt>
                <c:pt idx="29">
                  <c:v>0.85999999999999988</c:v>
                </c:pt>
                <c:pt idx="30">
                  <c:v>0.83999999999999986</c:v>
                </c:pt>
                <c:pt idx="31">
                  <c:v>0.81999999999999984</c:v>
                </c:pt>
                <c:pt idx="32">
                  <c:v>0.79999999999999982</c:v>
                </c:pt>
                <c:pt idx="33">
                  <c:v>0.7799999999999998</c:v>
                </c:pt>
                <c:pt idx="34">
                  <c:v>0.75999999999999979</c:v>
                </c:pt>
                <c:pt idx="35">
                  <c:v>0.73999999999999977</c:v>
                </c:pt>
                <c:pt idx="36">
                  <c:v>0.71999999999999975</c:v>
                </c:pt>
                <c:pt idx="37">
                  <c:v>0.69999999999999973</c:v>
                </c:pt>
                <c:pt idx="38">
                  <c:v>0.67999999999999972</c:v>
                </c:pt>
                <c:pt idx="39">
                  <c:v>0.6599999999999997</c:v>
                </c:pt>
                <c:pt idx="40">
                  <c:v>0.63999999999999968</c:v>
                </c:pt>
                <c:pt idx="41">
                  <c:v>0.61999999999999966</c:v>
                </c:pt>
                <c:pt idx="42">
                  <c:v>0.59999999999999964</c:v>
                </c:pt>
                <c:pt idx="43">
                  <c:v>0.5499999999999996</c:v>
                </c:pt>
                <c:pt idx="44">
                  <c:v>0.49999999999999961</c:v>
                </c:pt>
                <c:pt idx="45">
                  <c:v>0.44999999999999962</c:v>
                </c:pt>
                <c:pt idx="46">
                  <c:v>0.39999999999999963</c:v>
                </c:pt>
                <c:pt idx="47">
                  <c:v>0.34999999999999964</c:v>
                </c:pt>
                <c:pt idx="48">
                  <c:v>0.29999999999999966</c:v>
                </c:pt>
                <c:pt idx="49">
                  <c:v>0.24999999999999967</c:v>
                </c:pt>
                <c:pt idx="50">
                  <c:v>0.19999999999999968</c:v>
                </c:pt>
                <c:pt idx="51">
                  <c:v>0.14999999999999969</c:v>
                </c:pt>
                <c:pt idx="52">
                  <c:v>9.9999999999999686E-2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BPkW_Si!$P$4</c:f>
              <c:strCache>
                <c:ptCount val="1"/>
                <c:pt idx="0">
                  <c:v>84Kr</c:v>
                </c:pt>
              </c:strCache>
            </c:strRef>
          </c:tx>
          <c:spPr>
            <a:ln w="19050">
              <a:solidFill>
                <a:srgbClr val="0000FF"/>
              </a:solidFill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noFill/>
              </a:ln>
            </c:spPr>
          </c:marker>
          <c:xVal>
            <c:numRef>
              <c:f>BPkW_Si!$U$21:$U$73</c:f>
              <c:numCache>
                <c:formatCode>0.0</c:formatCode>
                <c:ptCount val="53"/>
                <c:pt idx="0">
                  <c:v>22.79</c:v>
                </c:pt>
                <c:pt idx="1">
                  <c:v>22.782117760889712</c:v>
                </c:pt>
                <c:pt idx="2">
                  <c:v>21.353714957020056</c:v>
                </c:pt>
                <c:pt idx="3">
                  <c:v>20.061451288343559</c:v>
                </c:pt>
                <c:pt idx="4">
                  <c:v>18.74764324736374</c:v>
                </c:pt>
                <c:pt idx="5">
                  <c:v>17.4793056</c:v>
                </c:pt>
                <c:pt idx="6">
                  <c:v>16.159298197891871</c:v>
                </c:pt>
                <c:pt idx="7">
                  <c:v>14.576892150449714</c:v>
                </c:pt>
                <c:pt idx="8">
                  <c:v>12.395868185302813</c:v>
                </c:pt>
                <c:pt idx="9">
                  <c:v>10.884984011443109</c:v>
                </c:pt>
                <c:pt idx="10">
                  <c:v>8.8396306910569162</c:v>
                </c:pt>
                <c:pt idx="11">
                  <c:v>7.7970415608713104</c:v>
                </c:pt>
                <c:pt idx="12">
                  <c:v>6.5754849063789251</c:v>
                </c:pt>
                <c:pt idx="13">
                  <c:v>5.0190428170231094</c:v>
                </c:pt>
                <c:pt idx="14">
                  <c:v>4.0881500664495043</c:v>
                </c:pt>
                <c:pt idx="15">
                  <c:v>3.0007605416554739</c:v>
                </c:pt>
                <c:pt idx="16">
                  <c:v>1.6895335106383058</c:v>
                </c:pt>
                <c:pt idx="17">
                  <c:v>0</c:v>
                </c:pt>
                <c:pt idx="18">
                  <c:v>-7.9338227521501565</c:v>
                </c:pt>
                <c:pt idx="19">
                  <c:v>-11.642162555445672</c:v>
                </c:pt>
                <c:pt idx="20">
                  <c:v>-14.589086127167604</c:v>
                </c:pt>
                <c:pt idx="21">
                  <c:v>-17.241744312003327</c:v>
                </c:pt>
                <c:pt idx="22">
                  <c:v>-19.744400875034174</c:v>
                </c:pt>
                <c:pt idx="23">
                  <c:v>-22.16551375514026</c:v>
                </c:pt>
                <c:pt idx="24">
                  <c:v>-24.560804467724566</c:v>
                </c:pt>
                <c:pt idx="25">
                  <c:v>-26.923978947368461</c:v>
                </c:pt>
                <c:pt idx="26">
                  <c:v>-29.263770069752702</c:v>
                </c:pt>
                <c:pt idx="27">
                  <c:v>-31.618375603580603</c:v>
                </c:pt>
                <c:pt idx="28">
                  <c:v>-36.382781066813131</c:v>
                </c:pt>
                <c:pt idx="29">
                  <c:v>-41.260086256633592</c:v>
                </c:pt>
                <c:pt idx="30">
                  <c:v>-46.308868090896745</c:v>
                </c:pt>
                <c:pt idx="31">
                  <c:v>-51.608698609595955</c:v>
                </c:pt>
                <c:pt idx="32">
                  <c:v>-57.350951810456188</c:v>
                </c:pt>
                <c:pt idx="33">
                  <c:v>-63.136263138286289</c:v>
                </c:pt>
                <c:pt idx="34">
                  <c:v>-69.54756076854747</c:v>
                </c:pt>
                <c:pt idx="35">
                  <c:v>-76.04426525538949</c:v>
                </c:pt>
                <c:pt idx="36">
                  <c:v>-83.329851019615575</c:v>
                </c:pt>
                <c:pt idx="37">
                  <c:v>-90.880191207949451</c:v>
                </c:pt>
                <c:pt idx="38">
                  <c:v>-99.157272084901308</c:v>
                </c:pt>
                <c:pt idx="39">
                  <c:v>-108.14193187839621</c:v>
                </c:pt>
                <c:pt idx="40">
                  <c:v>-117.6902310649152</c:v>
                </c:pt>
                <c:pt idx="41">
                  <c:v>-128.27550135929835</c:v>
                </c:pt>
                <c:pt idx="42">
                  <c:v>-139.92812183842437</c:v>
                </c:pt>
                <c:pt idx="43">
                  <c:v>-174.11727737623409</c:v>
                </c:pt>
                <c:pt idx="44" formatCode="0">
                  <c:v>-219.8983227580126</c:v>
                </c:pt>
                <c:pt idx="45" formatCode="0">
                  <c:v>-285.67544800391602</c:v>
                </c:pt>
                <c:pt idx="46" formatCode="0">
                  <c:v>-386.51753486754615</c:v>
                </c:pt>
                <c:pt idx="47" formatCode="0">
                  <c:v>-532.74668494639229</c:v>
                </c:pt>
                <c:pt idx="48" formatCode="0">
                  <c:v>-768.37844142756251</c:v>
                </c:pt>
                <c:pt idx="49" formatCode="0">
                  <c:v>-1188.5312207569345</c:v>
                </c:pt>
                <c:pt idx="50" formatCode="0">
                  <c:v>-2031.5363942906656</c:v>
                </c:pt>
                <c:pt idx="51" formatCode="0">
                  <c:v>-4061.4845118256171</c:v>
                </c:pt>
                <c:pt idx="52" formatCode="0">
                  <c:v>-11887.003606472588</c:v>
                </c:pt>
              </c:numCache>
            </c:numRef>
          </c:xVal>
          <c:yVal>
            <c:numRef>
              <c:f>BPkW_Si!$F$21:$F$73</c:f>
              <c:numCache>
                <c:formatCode>0.00</c:formatCode>
                <c:ptCount val="53"/>
                <c:pt idx="1">
                  <c:v>0.1</c:v>
                </c:pt>
                <c:pt idx="2">
                  <c:v>0.2</c:v>
                </c:pt>
                <c:pt idx="3">
                  <c:v>0.3</c:v>
                </c:pt>
                <c:pt idx="4">
                  <c:v>0.4</c:v>
                </c:pt>
                <c:pt idx="5">
                  <c:v>0.5</c:v>
                </c:pt>
                <c:pt idx="6">
                  <c:v>0.6</c:v>
                </c:pt>
                <c:pt idx="7">
                  <c:v>0.7</c:v>
                </c:pt>
                <c:pt idx="8">
                  <c:v>0.8</c:v>
                </c:pt>
                <c:pt idx="9">
                  <c:v>0.85</c:v>
                </c:pt>
                <c:pt idx="10">
                  <c:v>0.9</c:v>
                </c:pt>
                <c:pt idx="11">
                  <c:v>0.92</c:v>
                </c:pt>
                <c:pt idx="12">
                  <c:v>0.94</c:v>
                </c:pt>
                <c:pt idx="13">
                  <c:v>0.96</c:v>
                </c:pt>
                <c:pt idx="14">
                  <c:v>0.97</c:v>
                </c:pt>
                <c:pt idx="15">
                  <c:v>0.98</c:v>
                </c:pt>
                <c:pt idx="16">
                  <c:v>0.99</c:v>
                </c:pt>
                <c:pt idx="17" formatCode="0.0">
                  <c:v>1</c:v>
                </c:pt>
                <c:pt idx="18">
                  <c:v>0.99</c:v>
                </c:pt>
                <c:pt idx="19">
                  <c:v>0.98</c:v>
                </c:pt>
                <c:pt idx="20">
                  <c:v>0.97</c:v>
                </c:pt>
                <c:pt idx="21">
                  <c:v>0.96</c:v>
                </c:pt>
                <c:pt idx="22">
                  <c:v>0.95</c:v>
                </c:pt>
                <c:pt idx="23">
                  <c:v>0.94</c:v>
                </c:pt>
                <c:pt idx="24">
                  <c:v>0.92999999999999994</c:v>
                </c:pt>
                <c:pt idx="25">
                  <c:v>0.91999999999999993</c:v>
                </c:pt>
                <c:pt idx="26">
                  <c:v>0.90999999999999992</c:v>
                </c:pt>
                <c:pt idx="27">
                  <c:v>0.89999999999999991</c:v>
                </c:pt>
                <c:pt idx="28">
                  <c:v>0.87999999999999989</c:v>
                </c:pt>
                <c:pt idx="29">
                  <c:v>0.85999999999999988</c:v>
                </c:pt>
                <c:pt idx="30">
                  <c:v>0.83999999999999986</c:v>
                </c:pt>
                <c:pt idx="31">
                  <c:v>0.81999999999999984</c:v>
                </c:pt>
                <c:pt idx="32">
                  <c:v>0.79999999999999982</c:v>
                </c:pt>
                <c:pt idx="33">
                  <c:v>0.7799999999999998</c:v>
                </c:pt>
                <c:pt idx="34">
                  <c:v>0.75999999999999979</c:v>
                </c:pt>
                <c:pt idx="35">
                  <c:v>0.73999999999999977</c:v>
                </c:pt>
                <c:pt idx="36">
                  <c:v>0.71999999999999975</c:v>
                </c:pt>
                <c:pt idx="37">
                  <c:v>0.69999999999999973</c:v>
                </c:pt>
                <c:pt idx="38">
                  <c:v>0.67999999999999972</c:v>
                </c:pt>
                <c:pt idx="39">
                  <c:v>0.6599999999999997</c:v>
                </c:pt>
                <c:pt idx="40">
                  <c:v>0.63999999999999968</c:v>
                </c:pt>
                <c:pt idx="41">
                  <c:v>0.61999999999999966</c:v>
                </c:pt>
                <c:pt idx="42">
                  <c:v>0.59999999999999964</c:v>
                </c:pt>
                <c:pt idx="43">
                  <c:v>0.5499999999999996</c:v>
                </c:pt>
                <c:pt idx="44">
                  <c:v>0.49999999999999961</c:v>
                </c:pt>
                <c:pt idx="45">
                  <c:v>0.44999999999999962</c:v>
                </c:pt>
                <c:pt idx="46">
                  <c:v>0.39999999999999963</c:v>
                </c:pt>
                <c:pt idx="47">
                  <c:v>0.34999999999999964</c:v>
                </c:pt>
                <c:pt idx="48">
                  <c:v>0.29999999999999966</c:v>
                </c:pt>
                <c:pt idx="49">
                  <c:v>0.24999999999999967</c:v>
                </c:pt>
                <c:pt idx="50">
                  <c:v>0.19999999999999968</c:v>
                </c:pt>
                <c:pt idx="51">
                  <c:v>0.14999999999999969</c:v>
                </c:pt>
                <c:pt idx="52">
                  <c:v>9.9999999999999686E-2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BPkW_Si!$Y$4</c:f>
              <c:strCache>
                <c:ptCount val="1"/>
                <c:pt idx="0">
                  <c:v>132Xe</c:v>
                </c:pt>
              </c:strCache>
            </c:strRef>
          </c:tx>
          <c:spPr>
            <a:ln>
              <a:solidFill>
                <a:srgbClr val="008000"/>
              </a:solidFill>
            </a:ln>
          </c:spPr>
          <c:marker>
            <c:symbol val="circle"/>
            <c:size val="3"/>
            <c:spPr>
              <a:solidFill>
                <a:srgbClr val="008000"/>
              </a:solidFill>
              <a:ln>
                <a:noFill/>
              </a:ln>
            </c:spPr>
          </c:marker>
          <c:xVal>
            <c:numRef>
              <c:f>BPkW_Si!$AD$21:$AD$73</c:f>
              <c:numCache>
                <c:formatCode>0.0</c:formatCode>
                <c:ptCount val="53"/>
                <c:pt idx="0">
                  <c:v>36.590000000000003</c:v>
                </c:pt>
                <c:pt idx="1">
                  <c:v>36.575392900763362</c:v>
                </c:pt>
                <c:pt idx="2">
                  <c:v>34.720438235294118</c:v>
                </c:pt>
                <c:pt idx="3">
                  <c:v>32.420933594976454</c:v>
                </c:pt>
                <c:pt idx="4">
                  <c:v>30.449316390542066</c:v>
                </c:pt>
                <c:pt idx="5">
                  <c:v>28.469198716262433</c:v>
                </c:pt>
                <c:pt idx="6">
                  <c:v>26.238368122914569</c:v>
                </c:pt>
                <c:pt idx="7">
                  <c:v>23.595176384151145</c:v>
                </c:pt>
                <c:pt idx="8">
                  <c:v>20.336835707502374</c:v>
                </c:pt>
                <c:pt idx="9">
                  <c:v>18.355116763232843</c:v>
                </c:pt>
                <c:pt idx="10">
                  <c:v>15.955340984106034</c:v>
                </c:pt>
                <c:pt idx="11">
                  <c:v>14.843913607119241</c:v>
                </c:pt>
                <c:pt idx="12">
                  <c:v>13.604448315927797</c:v>
                </c:pt>
                <c:pt idx="13">
                  <c:v>12.146316129032289</c:v>
                </c:pt>
                <c:pt idx="14">
                  <c:v>11.027882258064523</c:v>
                </c:pt>
                <c:pt idx="15">
                  <c:v>8.8865383957219386</c:v>
                </c:pt>
                <c:pt idx="16">
                  <c:v>6.8486733475479511</c:v>
                </c:pt>
                <c:pt idx="17">
                  <c:v>0</c:v>
                </c:pt>
                <c:pt idx="18">
                  <c:v>-6.4377455447209329</c:v>
                </c:pt>
                <c:pt idx="19">
                  <c:v>-10.119832300994617</c:v>
                </c:pt>
                <c:pt idx="20">
                  <c:v>-13.214042671415584</c:v>
                </c:pt>
                <c:pt idx="21">
                  <c:v>-16.197912119660394</c:v>
                </c:pt>
                <c:pt idx="22">
                  <c:v>-18.974946555452597</c:v>
                </c:pt>
                <c:pt idx="23">
                  <c:v>-21.716958047574884</c:v>
                </c:pt>
                <c:pt idx="24">
                  <c:v>-24.423630152895925</c:v>
                </c:pt>
                <c:pt idx="25">
                  <c:v>-27.118806250453702</c:v>
                </c:pt>
                <c:pt idx="26">
                  <c:v>-29.843668638898009</c:v>
                </c:pt>
                <c:pt idx="27">
                  <c:v>-32.591002951787502</c:v>
                </c:pt>
                <c:pt idx="28">
                  <c:v>-38.23231215587181</c:v>
                </c:pt>
                <c:pt idx="29">
                  <c:v>-44.127171775158089</c:v>
                </c:pt>
                <c:pt idx="30">
                  <c:v>-50.348655563655953</c:v>
                </c:pt>
                <c:pt idx="31">
                  <c:v>-56.917962665850652</c:v>
                </c:pt>
                <c:pt idx="32">
                  <c:v>-63.910564704806532</c:v>
                </c:pt>
                <c:pt idx="33">
                  <c:v>-71.439495758582723</c:v>
                </c:pt>
                <c:pt idx="34">
                  <c:v>-79.493657652156031</c:v>
                </c:pt>
                <c:pt idx="35">
                  <c:v>-88.40175303470194</c:v>
                </c:pt>
                <c:pt idx="36">
                  <c:v>-97.722368277811256</c:v>
                </c:pt>
                <c:pt idx="37">
                  <c:v>-108.15984316989622</c:v>
                </c:pt>
                <c:pt idx="38">
                  <c:v>-119.15331362326808</c:v>
                </c:pt>
                <c:pt idx="39">
                  <c:v>-131.32447190115263</c:v>
                </c:pt>
                <c:pt idx="40">
                  <c:v>-144.73924007480909</c:v>
                </c:pt>
                <c:pt idx="41">
                  <c:v>-159.09640223012559</c:v>
                </c:pt>
                <c:pt idx="42">
                  <c:v>-175.27867372769521</c:v>
                </c:pt>
                <c:pt idx="43">
                  <c:v>-223.4011239576142</c:v>
                </c:pt>
                <c:pt idx="44" formatCode="0">
                  <c:v>-288.24466817972097</c:v>
                </c:pt>
                <c:pt idx="45" formatCode="0">
                  <c:v>-379.25669667119655</c:v>
                </c:pt>
                <c:pt idx="46" formatCode="0">
                  <c:v>-509.91241409520217</c:v>
                </c:pt>
                <c:pt idx="47" formatCode="0">
                  <c:v>-711.28871533554457</c:v>
                </c:pt>
                <c:pt idx="48" formatCode="0">
                  <c:v>-1035.6701535652344</c:v>
                </c:pt>
                <c:pt idx="49" formatCode="0">
                  <c:v>-1611.4879281775245</c:v>
                </c:pt>
                <c:pt idx="50" formatCode="0">
                  <c:v>-2812.2013873285227</c:v>
                </c:pt>
                <c:pt idx="51" formatCode="0">
                  <c:v>-5992.5452029427188</c:v>
                </c:pt>
                <c:pt idx="52" formatCode="0">
                  <c:v>-20439.996564491496</c:v>
                </c:pt>
              </c:numCache>
            </c:numRef>
          </c:xVal>
          <c:yVal>
            <c:numRef>
              <c:f>BPkW_Si!$F$21:$F$73</c:f>
              <c:numCache>
                <c:formatCode>0.00</c:formatCode>
                <c:ptCount val="53"/>
                <c:pt idx="1">
                  <c:v>0.1</c:v>
                </c:pt>
                <c:pt idx="2">
                  <c:v>0.2</c:v>
                </c:pt>
                <c:pt idx="3">
                  <c:v>0.3</c:v>
                </c:pt>
                <c:pt idx="4">
                  <c:v>0.4</c:v>
                </c:pt>
                <c:pt idx="5">
                  <c:v>0.5</c:v>
                </c:pt>
                <c:pt idx="6">
                  <c:v>0.6</c:v>
                </c:pt>
                <c:pt idx="7">
                  <c:v>0.7</c:v>
                </c:pt>
                <c:pt idx="8">
                  <c:v>0.8</c:v>
                </c:pt>
                <c:pt idx="9">
                  <c:v>0.85</c:v>
                </c:pt>
                <c:pt idx="10">
                  <c:v>0.9</c:v>
                </c:pt>
                <c:pt idx="11">
                  <c:v>0.92</c:v>
                </c:pt>
                <c:pt idx="12">
                  <c:v>0.94</c:v>
                </c:pt>
                <c:pt idx="13">
                  <c:v>0.96</c:v>
                </c:pt>
                <c:pt idx="14">
                  <c:v>0.97</c:v>
                </c:pt>
                <c:pt idx="15">
                  <c:v>0.98</c:v>
                </c:pt>
                <c:pt idx="16">
                  <c:v>0.99</c:v>
                </c:pt>
                <c:pt idx="17" formatCode="0.0">
                  <c:v>1</c:v>
                </c:pt>
                <c:pt idx="18">
                  <c:v>0.99</c:v>
                </c:pt>
                <c:pt idx="19">
                  <c:v>0.98</c:v>
                </c:pt>
                <c:pt idx="20">
                  <c:v>0.97</c:v>
                </c:pt>
                <c:pt idx="21">
                  <c:v>0.96</c:v>
                </c:pt>
                <c:pt idx="22">
                  <c:v>0.95</c:v>
                </c:pt>
                <c:pt idx="23">
                  <c:v>0.94</c:v>
                </c:pt>
                <c:pt idx="24">
                  <c:v>0.92999999999999994</c:v>
                </c:pt>
                <c:pt idx="25">
                  <c:v>0.91999999999999993</c:v>
                </c:pt>
                <c:pt idx="26">
                  <c:v>0.90999999999999992</c:v>
                </c:pt>
                <c:pt idx="27">
                  <c:v>0.89999999999999991</c:v>
                </c:pt>
                <c:pt idx="28">
                  <c:v>0.87999999999999989</c:v>
                </c:pt>
                <c:pt idx="29">
                  <c:v>0.85999999999999988</c:v>
                </c:pt>
                <c:pt idx="30">
                  <c:v>0.83999999999999986</c:v>
                </c:pt>
                <c:pt idx="31">
                  <c:v>0.81999999999999984</c:v>
                </c:pt>
                <c:pt idx="32">
                  <c:v>0.79999999999999982</c:v>
                </c:pt>
                <c:pt idx="33">
                  <c:v>0.7799999999999998</c:v>
                </c:pt>
                <c:pt idx="34">
                  <c:v>0.75999999999999979</c:v>
                </c:pt>
                <c:pt idx="35">
                  <c:v>0.73999999999999977</c:v>
                </c:pt>
                <c:pt idx="36">
                  <c:v>0.71999999999999975</c:v>
                </c:pt>
                <c:pt idx="37">
                  <c:v>0.69999999999999973</c:v>
                </c:pt>
                <c:pt idx="38">
                  <c:v>0.67999999999999972</c:v>
                </c:pt>
                <c:pt idx="39">
                  <c:v>0.6599999999999997</c:v>
                </c:pt>
                <c:pt idx="40">
                  <c:v>0.63999999999999968</c:v>
                </c:pt>
                <c:pt idx="41">
                  <c:v>0.61999999999999966</c:v>
                </c:pt>
                <c:pt idx="42">
                  <c:v>0.59999999999999964</c:v>
                </c:pt>
                <c:pt idx="43">
                  <c:v>0.5499999999999996</c:v>
                </c:pt>
                <c:pt idx="44">
                  <c:v>0.49999999999999961</c:v>
                </c:pt>
                <c:pt idx="45">
                  <c:v>0.44999999999999962</c:v>
                </c:pt>
                <c:pt idx="46">
                  <c:v>0.39999999999999963</c:v>
                </c:pt>
                <c:pt idx="47">
                  <c:v>0.34999999999999964</c:v>
                </c:pt>
                <c:pt idx="48">
                  <c:v>0.29999999999999966</c:v>
                </c:pt>
                <c:pt idx="49">
                  <c:v>0.24999999999999967</c:v>
                </c:pt>
                <c:pt idx="50">
                  <c:v>0.19999999999999968</c:v>
                </c:pt>
                <c:pt idx="51">
                  <c:v>0.14999999999999969</c:v>
                </c:pt>
                <c:pt idx="52">
                  <c:v>9.9999999999999686E-2</c:v>
                </c:pt>
              </c:numCache>
            </c:numRef>
          </c:yVal>
          <c:smooth val="0"/>
        </c:ser>
        <c:ser>
          <c:idx val="3"/>
          <c:order val="3"/>
          <c:tx>
            <c:strRef>
              <c:f>BPkW_Si!$AH$4</c:f>
              <c:strCache>
                <c:ptCount val="1"/>
                <c:pt idx="0">
                  <c:v>197Au</c:v>
                </c:pt>
              </c:strCache>
            </c:strRef>
          </c:tx>
          <c:spPr>
            <a:ln>
              <a:solidFill>
                <a:srgbClr val="7030A0"/>
              </a:solidFill>
            </a:ln>
          </c:spPr>
          <c:marker>
            <c:symbol val="circle"/>
            <c:size val="3"/>
            <c:spPr>
              <a:solidFill>
                <a:srgbClr val="7030A0"/>
              </a:solidFill>
              <a:ln>
                <a:noFill/>
              </a:ln>
            </c:spPr>
          </c:marker>
          <c:xVal>
            <c:numRef>
              <c:f>BPkW_Si!$AM$21:$AM$73</c:f>
              <c:numCache>
                <c:formatCode>0.0</c:formatCode>
                <c:ptCount val="53"/>
                <c:pt idx="0">
                  <c:v>45.57</c:v>
                </c:pt>
                <c:pt idx="1">
                  <c:v>45.552210563480742</c:v>
                </c:pt>
                <c:pt idx="2">
                  <c:v>45.425013428571425</c:v>
                </c:pt>
                <c:pt idx="3">
                  <c:v>37.272423000000003</c:v>
                </c:pt>
                <c:pt idx="4">
                  <c:v>34.790422524271847</c:v>
                </c:pt>
                <c:pt idx="5">
                  <c:v>32.476096381969157</c:v>
                </c:pt>
                <c:pt idx="6">
                  <c:v>30.03757144647258</c:v>
                </c:pt>
                <c:pt idx="7">
                  <c:v>27.220680185793587</c:v>
                </c:pt>
                <c:pt idx="8">
                  <c:v>23.67321446775826</c:v>
                </c:pt>
                <c:pt idx="9">
                  <c:v>21.468276376043814</c:v>
                </c:pt>
                <c:pt idx="10">
                  <c:v>18.781598974651089</c:v>
                </c:pt>
                <c:pt idx="11">
                  <c:v>17.508379113802992</c:v>
                </c:pt>
                <c:pt idx="12">
                  <c:v>16.046334393741851</c:v>
                </c:pt>
                <c:pt idx="13">
                  <c:v>13.809070746929706</c:v>
                </c:pt>
                <c:pt idx="14">
                  <c:v>11.866782114907402</c:v>
                </c:pt>
                <c:pt idx="15">
                  <c:v>10.006186729733265</c:v>
                </c:pt>
                <c:pt idx="16">
                  <c:v>7.2665991382539872</c:v>
                </c:pt>
                <c:pt idx="17">
                  <c:v>0</c:v>
                </c:pt>
                <c:pt idx="18">
                  <c:v>-10.566279210220642</c:v>
                </c:pt>
                <c:pt idx="19">
                  <c:v>-16.08485550841656</c:v>
                </c:pt>
                <c:pt idx="20">
                  <c:v>-20.852601282051246</c:v>
                </c:pt>
                <c:pt idx="21">
                  <c:v>-25.393166989853405</c:v>
                </c:pt>
                <c:pt idx="22">
                  <c:v>-29.8497961392546</c:v>
                </c:pt>
                <c:pt idx="23">
                  <c:v>-34.305932810601867</c:v>
                </c:pt>
                <c:pt idx="24">
                  <c:v>-38.80169267900245</c:v>
                </c:pt>
                <c:pt idx="25">
                  <c:v>-43.437033891132081</c:v>
                </c:pt>
                <c:pt idx="26">
                  <c:v>-48.180871023825567</c:v>
                </c:pt>
                <c:pt idx="27">
                  <c:v>-53.085934044046517</c:v>
                </c:pt>
                <c:pt idx="28">
                  <c:v>-63.269038987180373</c:v>
                </c:pt>
                <c:pt idx="29">
                  <c:v>-74.192624250342391</c:v>
                </c:pt>
                <c:pt idx="30">
                  <c:v>-85.977170109032926</c:v>
                </c:pt>
                <c:pt idx="31">
                  <c:v>-98.713290422817863</c:v>
                </c:pt>
                <c:pt idx="32">
                  <c:v>-112.30804801375271</c:v>
                </c:pt>
                <c:pt idx="33">
                  <c:v>-126.92497865772404</c:v>
                </c:pt>
                <c:pt idx="34">
                  <c:v>-142.45872363950494</c:v>
                </c:pt>
                <c:pt idx="35">
                  <c:v>-159.14354971056059</c:v>
                </c:pt>
                <c:pt idx="36">
                  <c:v>-176.28032461749862</c:v>
                </c:pt>
                <c:pt idx="37">
                  <c:v>-194.842185501617</c:v>
                </c:pt>
                <c:pt idx="38">
                  <c:v>-214.18934555728401</c:v>
                </c:pt>
                <c:pt idx="39">
                  <c:v>-234.34928697197216</c:v>
                </c:pt>
                <c:pt idx="40">
                  <c:v>-256.79370006824979</c:v>
                </c:pt>
                <c:pt idx="41">
                  <c:v>-284.19319787376111</c:v>
                </c:pt>
                <c:pt idx="42">
                  <c:v>-316.45159667097624</c:v>
                </c:pt>
                <c:pt idx="43">
                  <c:v>-414.32536543274762</c:v>
                </c:pt>
                <c:pt idx="44" formatCode="0">
                  <c:v>-544.67592579264601</c:v>
                </c:pt>
                <c:pt idx="45" formatCode="0">
                  <c:v>-726.10474952582967</c:v>
                </c:pt>
                <c:pt idx="46" formatCode="0">
                  <c:v>-994.25313612621437</c:v>
                </c:pt>
                <c:pt idx="47" formatCode="0">
                  <c:v>-1412.1762447307524</c:v>
                </c:pt>
                <c:pt idx="48" formatCode="0">
                  <c:v>-2110.6196687063984</c:v>
                </c:pt>
                <c:pt idx="49" formatCode="0">
                  <c:v>-3419.7165699940856</c:v>
                </c:pt>
                <c:pt idx="50" formatCode="0">
                  <c:v>-6417.0609676404565</c:v>
                </c:pt>
                <c:pt idx="51" formatCode="0">
                  <c:v>-16311.472683137117</c:v>
                </c:pt>
              </c:numCache>
            </c:numRef>
          </c:xVal>
          <c:yVal>
            <c:numRef>
              <c:f>BPkW_Si!$F$21:$F$73</c:f>
              <c:numCache>
                <c:formatCode>0.00</c:formatCode>
                <c:ptCount val="53"/>
                <c:pt idx="1">
                  <c:v>0.1</c:v>
                </c:pt>
                <c:pt idx="2">
                  <c:v>0.2</c:v>
                </c:pt>
                <c:pt idx="3">
                  <c:v>0.3</c:v>
                </c:pt>
                <c:pt idx="4">
                  <c:v>0.4</c:v>
                </c:pt>
                <c:pt idx="5">
                  <c:v>0.5</c:v>
                </c:pt>
                <c:pt idx="6">
                  <c:v>0.6</c:v>
                </c:pt>
                <c:pt idx="7">
                  <c:v>0.7</c:v>
                </c:pt>
                <c:pt idx="8">
                  <c:v>0.8</c:v>
                </c:pt>
                <c:pt idx="9">
                  <c:v>0.85</c:v>
                </c:pt>
                <c:pt idx="10">
                  <c:v>0.9</c:v>
                </c:pt>
                <c:pt idx="11">
                  <c:v>0.92</c:v>
                </c:pt>
                <c:pt idx="12">
                  <c:v>0.94</c:v>
                </c:pt>
                <c:pt idx="13">
                  <c:v>0.96</c:v>
                </c:pt>
                <c:pt idx="14">
                  <c:v>0.97</c:v>
                </c:pt>
                <c:pt idx="15">
                  <c:v>0.98</c:v>
                </c:pt>
                <c:pt idx="16">
                  <c:v>0.99</c:v>
                </c:pt>
                <c:pt idx="17" formatCode="0.0">
                  <c:v>1</c:v>
                </c:pt>
                <c:pt idx="18">
                  <c:v>0.99</c:v>
                </c:pt>
                <c:pt idx="19">
                  <c:v>0.98</c:v>
                </c:pt>
                <c:pt idx="20">
                  <c:v>0.97</c:v>
                </c:pt>
                <c:pt idx="21">
                  <c:v>0.96</c:v>
                </c:pt>
                <c:pt idx="22">
                  <c:v>0.95</c:v>
                </c:pt>
                <c:pt idx="23">
                  <c:v>0.94</c:v>
                </c:pt>
                <c:pt idx="24">
                  <c:v>0.92999999999999994</c:v>
                </c:pt>
                <c:pt idx="25">
                  <c:v>0.91999999999999993</c:v>
                </c:pt>
                <c:pt idx="26">
                  <c:v>0.90999999999999992</c:v>
                </c:pt>
                <c:pt idx="27">
                  <c:v>0.89999999999999991</c:v>
                </c:pt>
                <c:pt idx="28">
                  <c:v>0.87999999999999989</c:v>
                </c:pt>
                <c:pt idx="29">
                  <c:v>0.85999999999999988</c:v>
                </c:pt>
                <c:pt idx="30">
                  <c:v>0.83999999999999986</c:v>
                </c:pt>
                <c:pt idx="31">
                  <c:v>0.81999999999999984</c:v>
                </c:pt>
                <c:pt idx="32">
                  <c:v>0.79999999999999982</c:v>
                </c:pt>
                <c:pt idx="33">
                  <c:v>0.7799999999999998</c:v>
                </c:pt>
                <c:pt idx="34">
                  <c:v>0.75999999999999979</c:v>
                </c:pt>
                <c:pt idx="35">
                  <c:v>0.73999999999999977</c:v>
                </c:pt>
                <c:pt idx="36">
                  <c:v>0.71999999999999975</c:v>
                </c:pt>
                <c:pt idx="37">
                  <c:v>0.69999999999999973</c:v>
                </c:pt>
                <c:pt idx="38">
                  <c:v>0.67999999999999972</c:v>
                </c:pt>
                <c:pt idx="39">
                  <c:v>0.6599999999999997</c:v>
                </c:pt>
                <c:pt idx="40">
                  <c:v>0.63999999999999968</c:v>
                </c:pt>
                <c:pt idx="41">
                  <c:v>0.61999999999999966</c:v>
                </c:pt>
                <c:pt idx="42">
                  <c:v>0.59999999999999964</c:v>
                </c:pt>
                <c:pt idx="43">
                  <c:v>0.5499999999999996</c:v>
                </c:pt>
                <c:pt idx="44">
                  <c:v>0.49999999999999961</c:v>
                </c:pt>
                <c:pt idx="45">
                  <c:v>0.44999999999999962</c:v>
                </c:pt>
                <c:pt idx="46">
                  <c:v>0.39999999999999963</c:v>
                </c:pt>
                <c:pt idx="47">
                  <c:v>0.34999999999999964</c:v>
                </c:pt>
                <c:pt idx="48">
                  <c:v>0.29999999999999966</c:v>
                </c:pt>
                <c:pt idx="49">
                  <c:v>0.24999999999999967</c:v>
                </c:pt>
                <c:pt idx="50">
                  <c:v>0.19999999999999968</c:v>
                </c:pt>
                <c:pt idx="51">
                  <c:v>0.14999999999999969</c:v>
                </c:pt>
                <c:pt idx="52">
                  <c:v>9.9999999999999686E-2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4120488"/>
        <c:axId val="454118920"/>
      </c:scatterChart>
      <c:valAx>
        <c:axId val="454120488"/>
        <c:scaling>
          <c:orientation val="minMax"/>
          <c:max val="50"/>
          <c:min val="-100"/>
        </c:scaling>
        <c:delete val="0"/>
        <c:axPos val="b"/>
        <c:majorGridlines>
          <c:spPr>
            <a:ln>
              <a:solidFill>
                <a:schemeClr val="tx2">
                  <a:lumMod val="40000"/>
                  <a:lumOff val="60000"/>
                </a:schemeClr>
              </a:solidFill>
              <a:prstDash val="dash"/>
            </a:ln>
          </c:spPr>
        </c:majorGridlines>
        <c:title>
          <c:tx>
            <c:strRef>
              <c:f>BPkW_Si!$C$86</c:f>
              <c:strCache>
                <c:ptCount val="1"/>
                <c:pt idx="0">
                  <c:v>Al EDeg Thick [μm] </c:v>
                </c:pt>
              </c:strCache>
            </c:strRef>
          </c:tx>
          <c:layout>
            <c:manualLayout>
              <c:xMode val="edge"/>
              <c:yMode val="edge"/>
              <c:x val="0.42633060954709501"/>
              <c:y val="0.94293028279915614"/>
            </c:manualLayout>
          </c:layout>
          <c:overlay val="0"/>
          <c:spPr>
            <a:solidFill>
              <a:schemeClr val="bg1"/>
            </a:solidFill>
          </c:spPr>
          <c:txPr>
            <a:bodyPr/>
            <a:lstStyle/>
            <a:p>
              <a:pPr>
                <a:defRPr sz="1200">
                  <a:solidFill>
                    <a:schemeClr val="tx1"/>
                  </a:solidFill>
                </a:defRPr>
              </a:pPr>
              <a:endParaRPr lang="ja-JP"/>
            </a:p>
          </c:txPr>
        </c:title>
        <c:numFmt formatCode="0_ " sourceLinked="0"/>
        <c:majorTickMark val="cross"/>
        <c:minorTickMark val="out"/>
        <c:tickLblPos val="nextTo"/>
        <c:txPr>
          <a:bodyPr/>
          <a:lstStyle/>
          <a:p>
            <a:pPr>
              <a:defRPr sz="1100">
                <a:latin typeface="+mn-ea"/>
                <a:ea typeface="+mn-ea"/>
              </a:defRPr>
            </a:pPr>
            <a:endParaRPr lang="ja-JP"/>
          </a:p>
        </c:txPr>
        <c:crossAx val="454118920"/>
        <c:crosses val="autoZero"/>
        <c:crossBetween val="midCat"/>
        <c:majorUnit val="20"/>
        <c:minorUnit val="5"/>
      </c:valAx>
      <c:valAx>
        <c:axId val="454118920"/>
        <c:scaling>
          <c:orientation val="minMax"/>
          <c:max val="1"/>
          <c:min val="0.5"/>
        </c:scaling>
        <c:delete val="0"/>
        <c:axPos val="l"/>
        <c:majorGridlines>
          <c:spPr>
            <a:ln>
              <a:solidFill>
                <a:schemeClr val="tx2">
                  <a:lumMod val="40000"/>
                  <a:lumOff val="60000"/>
                </a:schemeClr>
              </a:solidFill>
              <a:prstDash val="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altLang="en-US" sz="1200"/>
                  <a:t>max LETt </a:t>
                </a:r>
                <a:r>
                  <a:rPr lang="en-US" altLang="en-US" sz="1200">
                    <a:solidFill>
                      <a:srgbClr val="FF0000"/>
                    </a:solidFill>
                  </a:rPr>
                  <a:t> ratio</a:t>
                </a:r>
              </a:p>
            </c:rich>
          </c:tx>
          <c:layout>
            <c:manualLayout>
              <c:xMode val="edge"/>
              <c:yMode val="edge"/>
              <c:x val="0.89158051742189826"/>
              <c:y val="0.33336161186773761"/>
            </c:manualLayout>
          </c:layout>
          <c:overlay val="0"/>
        </c:title>
        <c:numFmt formatCode="0.0_ " sourceLinked="0"/>
        <c:majorTickMark val="cross"/>
        <c:minorTickMark val="out"/>
        <c:tickLblPos val="nextTo"/>
        <c:txPr>
          <a:bodyPr/>
          <a:lstStyle/>
          <a:p>
            <a:pPr>
              <a:defRPr sz="1100"/>
            </a:pPr>
            <a:endParaRPr lang="ja-JP"/>
          </a:p>
        </c:txPr>
        <c:crossAx val="454120488"/>
        <c:crossesAt val="0"/>
        <c:crossBetween val="midCat"/>
        <c:majorUnit val="0.1"/>
      </c:valAx>
    </c:plotArea>
    <c:legend>
      <c:legendPos val="r"/>
      <c:layout>
        <c:manualLayout>
          <c:xMode val="edge"/>
          <c:yMode val="edge"/>
          <c:x val="8.386609968238741E-2"/>
          <c:y val="7.3670016546213926E-2"/>
          <c:w val="0.22996875"/>
          <c:h val="0.15542407407407408"/>
        </c:manualLayout>
      </c:layout>
      <c:overlay val="0"/>
      <c:spPr>
        <a:solidFill>
          <a:schemeClr val="bg1"/>
        </a:solidFill>
      </c:sp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50">
          <a:latin typeface="+mn-ea"/>
          <a:ea typeface="+mn-ea"/>
        </a:defRPr>
      </a:pPr>
      <a:endParaRPr lang="ja-JP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BPkW_Si!$C$81</c:f>
          <c:strCache>
            <c:ptCount val="1"/>
            <c:pt idx="0">
              <c:v>LETnucl  in Si</c:v>
            </c:pt>
          </c:strCache>
        </c:strRef>
      </c:tx>
      <c:layout>
        <c:manualLayout>
          <c:xMode val="edge"/>
          <c:yMode val="edge"/>
          <c:x val="7.8675819879885561E-2"/>
          <c:y val="6.9191830745774743E-2"/>
        </c:manualLayout>
      </c:layout>
      <c:overlay val="0"/>
      <c:txPr>
        <a:bodyPr/>
        <a:lstStyle/>
        <a:p>
          <a:pPr>
            <a:defRPr sz="1400"/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6.1844212962962962E-2"/>
          <c:y val="5.4289891946211082E-2"/>
          <c:w val="0.80708425821795637"/>
          <c:h val="0.84191597222222236"/>
        </c:manualLayout>
      </c:layout>
      <c:scatterChart>
        <c:scatterStyle val="smoothMarker"/>
        <c:varyColors val="0"/>
        <c:ser>
          <c:idx val="0"/>
          <c:order val="0"/>
          <c:tx>
            <c:strRef>
              <c:f>BPkW_Si!$G$4</c:f>
              <c:strCache>
                <c:ptCount val="1"/>
                <c:pt idx="0">
                  <c:v>40Ar</c:v>
                </c:pt>
              </c:strCache>
            </c:strRef>
          </c:tx>
          <c:spPr>
            <a:ln w="19050">
              <a:solidFill>
                <a:srgbClr val="FF0000"/>
              </a:solidFill>
            </a:ln>
          </c:spPr>
          <c:marker>
            <c:symbol val="circle"/>
            <c:size val="3"/>
            <c:spPr>
              <a:noFill/>
              <a:ln>
                <a:solidFill>
                  <a:srgbClr val="FF0000"/>
                </a:solidFill>
              </a:ln>
            </c:spPr>
          </c:marker>
          <c:xVal>
            <c:numRef>
              <c:f>BPkW_Si!$I$21:$I$73</c:f>
              <c:numCache>
                <c:formatCode>0.00</c:formatCode>
                <c:ptCount val="53"/>
                <c:pt idx="0" formatCode="0.0">
                  <c:v>0</c:v>
                </c:pt>
                <c:pt idx="1">
                  <c:v>5.075113924050632E-3</c:v>
                </c:pt>
                <c:pt idx="2">
                  <c:v>0.43448000000000003</c:v>
                </c:pt>
                <c:pt idx="3">
                  <c:v>1.2633245667686033</c:v>
                </c:pt>
                <c:pt idx="4">
                  <c:v>2.0005877600979192</c:v>
                </c:pt>
                <c:pt idx="5">
                  <c:v>2.8191523770824864</c:v>
                </c:pt>
                <c:pt idx="6">
                  <c:v>3.6984264539372091</c:v>
                </c:pt>
                <c:pt idx="7">
                  <c:v>4.687067443978866</c:v>
                </c:pt>
                <c:pt idx="8">
                  <c:v>5.8984175365344464</c:v>
                </c:pt>
                <c:pt idx="9">
                  <c:v>6.6670735270035681</c:v>
                </c:pt>
                <c:pt idx="10">
                  <c:v>7.6475414994232995</c:v>
                </c:pt>
                <c:pt idx="11">
                  <c:v>8.1469460625579089</c:v>
                </c:pt>
                <c:pt idx="12">
                  <c:v>8.7385845242932607</c:v>
                </c:pt>
                <c:pt idx="13">
                  <c:v>9.4893046761545072</c:v>
                </c:pt>
                <c:pt idx="14">
                  <c:v>9.9920869396468071</c:v>
                </c:pt>
                <c:pt idx="15">
                  <c:v>10.631049186187534</c:v>
                </c:pt>
                <c:pt idx="16">
                  <c:v>11.490093674154375</c:v>
                </c:pt>
                <c:pt idx="17">
                  <c:v>13.7</c:v>
                </c:pt>
                <c:pt idx="18">
                  <c:v>17.907745739471139</c:v>
                </c:pt>
                <c:pt idx="19">
                  <c:v>19.786139220462861</c:v>
                </c:pt>
                <c:pt idx="20">
                  <c:v>21.462957308160792</c:v>
                </c:pt>
                <c:pt idx="21">
                  <c:v>22.834971467514787</c:v>
                </c:pt>
                <c:pt idx="22">
                  <c:v>24.112422024080001</c:v>
                </c:pt>
                <c:pt idx="23">
                  <c:v>25.075533961775328</c:v>
                </c:pt>
                <c:pt idx="24">
                  <c:v>25.994415114494707</c:v>
                </c:pt>
                <c:pt idx="25">
                  <c:v>26.967525499412485</c:v>
                </c:pt>
                <c:pt idx="26">
                  <c:v>28.173950176263251</c:v>
                </c:pt>
                <c:pt idx="27">
                  <c:v>29.383055975871599</c:v>
                </c:pt>
                <c:pt idx="28">
                  <c:v>31.854516010632882</c:v>
                </c:pt>
                <c:pt idx="29">
                  <c:v>34.460282979058455</c:v>
                </c:pt>
                <c:pt idx="30">
                  <c:v>37.185131424565967</c:v>
                </c:pt>
                <c:pt idx="31">
                  <c:v>40.14655606234043</c:v>
                </c:pt>
                <c:pt idx="32">
                  <c:v>43.28130734333417</c:v>
                </c:pt>
                <c:pt idx="33">
                  <c:v>46.636928911356584</c:v>
                </c:pt>
                <c:pt idx="34">
                  <c:v>50.334798889979396</c:v>
                </c:pt>
                <c:pt idx="35">
                  <c:v>54.213556722731795</c:v>
                </c:pt>
                <c:pt idx="36">
                  <c:v>58.531730557774615</c:v>
                </c:pt>
                <c:pt idx="37">
                  <c:v>62.944433808277324</c:v>
                </c:pt>
                <c:pt idx="38">
                  <c:v>68.103060455887288</c:v>
                </c:pt>
                <c:pt idx="39">
                  <c:v>73.533806699817433</c:v>
                </c:pt>
                <c:pt idx="40">
                  <c:v>79.426739394869116</c:v>
                </c:pt>
                <c:pt idx="41">
                  <c:v>86.076213751013711</c:v>
                </c:pt>
                <c:pt idx="42">
                  <c:v>93.371171047917031</c:v>
                </c:pt>
                <c:pt idx="43">
                  <c:v>115.31063048200691</c:v>
                </c:pt>
                <c:pt idx="44">
                  <c:v>145.01138238246446</c:v>
                </c:pt>
                <c:pt idx="45">
                  <c:v>184.90216501678302</c:v>
                </c:pt>
                <c:pt idx="46">
                  <c:v>241.72309252701169</c:v>
                </c:pt>
                <c:pt idx="47">
                  <c:v>328.00725278269135</c:v>
                </c:pt>
                <c:pt idx="48">
                  <c:v>463.64966129436374</c:v>
                </c:pt>
                <c:pt idx="49">
                  <c:v>712.62636936909985</c:v>
                </c:pt>
                <c:pt idx="50">
                  <c:v>1178.1976096577093</c:v>
                </c:pt>
                <c:pt idx="51">
                  <c:v>2249.0049847699643</c:v>
                </c:pt>
                <c:pt idx="52">
                  <c:v>5761.1772588414324</c:v>
                </c:pt>
              </c:numCache>
            </c:numRef>
          </c:xVal>
          <c:yVal>
            <c:numRef>
              <c:f>BPkW_Si!$N$21:$N$73</c:f>
              <c:numCache>
                <c:formatCode>0.00</c:formatCode>
                <c:ptCount val="53"/>
                <c:pt idx="0" formatCode="0.0">
                  <c:v>0</c:v>
                </c:pt>
                <c:pt idx="1">
                  <c:v>1.6687025949367087</c:v>
                </c:pt>
                <c:pt idx="2">
                  <c:v>1.1484731428571429</c:v>
                </c:pt>
                <c:pt idx="3">
                  <c:v>0.55936538634046895</c:v>
                </c:pt>
                <c:pt idx="4">
                  <c:v>0.36319840146878829</c:v>
                </c:pt>
                <c:pt idx="5">
                  <c:v>0.25113853718000817</c:v>
                </c:pt>
                <c:pt idx="6">
                  <c:v>0.18279441276376746</c:v>
                </c:pt>
                <c:pt idx="7">
                  <c:v>0.13680797303698308</c:v>
                </c:pt>
                <c:pt idx="8">
                  <c:v>0.1022208267223382</c:v>
                </c:pt>
                <c:pt idx="9">
                  <c:v>8.74454319588642E-2</c:v>
                </c:pt>
                <c:pt idx="10">
                  <c:v>7.3630731257208759E-2</c:v>
                </c:pt>
                <c:pt idx="11">
                  <c:v>6.8115141624387823E-2</c:v>
                </c:pt>
                <c:pt idx="12">
                  <c:v>6.240939097927671E-2</c:v>
                </c:pt>
                <c:pt idx="13">
                  <c:v>5.633728446122574E-2</c:v>
                </c:pt>
                <c:pt idx="14">
                  <c:v>5.2949171123617321E-2</c:v>
                </c:pt>
                <c:pt idx="15">
                  <c:v>4.9163569847450031E-2</c:v>
                </c:pt>
                <c:pt idx="16">
                  <c:v>4.4827865633875676E-2</c:v>
                </c:pt>
                <c:pt idx="17">
                  <c:v>3.6679999999999997E-2</c:v>
                </c:pt>
                <c:pt idx="18">
                  <c:v>2.7532103036238927E-2</c:v>
                </c:pt>
                <c:pt idx="19">
                  <c:v>2.4870212423873311E-2</c:v>
                </c:pt>
                <c:pt idx="20">
                  <c:v>2.293760852618756E-2</c:v>
                </c:pt>
                <c:pt idx="21">
                  <c:v>2.1606166651522016E-2</c:v>
                </c:pt>
                <c:pt idx="22">
                  <c:v>2.0461231712857759E-2</c:v>
                </c:pt>
                <c:pt idx="23">
                  <c:v>1.974275501524602E-2</c:v>
                </c:pt>
                <c:pt idx="24">
                  <c:v>1.9084285525240635E-2</c:v>
                </c:pt>
                <c:pt idx="25">
                  <c:v>1.8418700699943783E-2</c:v>
                </c:pt>
                <c:pt idx="26">
                  <c:v>1.7722503060338204E-2</c:v>
                </c:pt>
                <c:pt idx="27">
                  <c:v>1.7035872814640626E-2</c:v>
                </c:pt>
                <c:pt idx="28">
                  <c:v>1.5852625539310897E-2</c:v>
                </c:pt>
                <c:pt idx="29">
                  <c:v>1.4813797008345128E-2</c:v>
                </c:pt>
                <c:pt idx="30">
                  <c:v>1.3885232136309707E-2</c:v>
                </c:pt>
                <c:pt idx="31">
                  <c:v>1.3025860984414892E-2</c:v>
                </c:pt>
                <c:pt idx="32">
                  <c:v>1.2255142027582863E-2</c:v>
                </c:pt>
                <c:pt idx="33">
                  <c:v>1.1541700511961867E-2</c:v>
                </c:pt>
                <c:pt idx="34">
                  <c:v>1.0883859460557034E-2</c:v>
                </c:pt>
                <c:pt idx="35">
                  <c:v>1.0264774334156814E-2</c:v>
                </c:pt>
                <c:pt idx="36">
                  <c:v>9.70820438889149E-3</c:v>
                </c:pt>
                <c:pt idx="37">
                  <c:v>9.1646994134009074E-3</c:v>
                </c:pt>
                <c:pt idx="38">
                  <c:v>8.6702291577235996E-3</c:v>
                </c:pt>
                <c:pt idx="39">
                  <c:v>8.1931787455053872E-3</c:v>
                </c:pt>
                <c:pt idx="40">
                  <c:v>7.7457153815421419E-3</c:v>
                </c:pt>
                <c:pt idx="41">
                  <c:v>7.3274392450731066E-3</c:v>
                </c:pt>
                <c:pt idx="42">
                  <c:v>6.923925600182409E-3</c:v>
                </c:pt>
                <c:pt idx="43">
                  <c:v>5.9996107057955503E-3</c:v>
                </c:pt>
                <c:pt idx="44">
                  <c:v>5.1763541886709766E-3</c:v>
                </c:pt>
                <c:pt idx="45">
                  <c:v>4.4326571808467451E-3</c:v>
                </c:pt>
                <c:pt idx="46">
                  <c:v>3.76068685047583E-3</c:v>
                </c:pt>
                <c:pt idx="47">
                  <c:v>3.1478599710771452E-3</c:v>
                </c:pt>
                <c:pt idx="48">
                  <c:v>2.5736246165444445E-3</c:v>
                </c:pt>
                <c:pt idx="49">
                  <c:v>2.0172980719910653E-3</c:v>
                </c:pt>
                <c:pt idx="50">
                  <c:v>1.5251200289008609E-3</c:v>
                </c:pt>
                <c:pt idx="51">
                  <c:v>1.0787275437621417E-3</c:v>
                </c:pt>
                <c:pt idx="52">
                  <c:v>6.5787949097587681E-4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BPkW_Si!$P$4</c:f>
              <c:strCache>
                <c:ptCount val="1"/>
                <c:pt idx="0">
                  <c:v>84Kr</c:v>
                </c:pt>
              </c:strCache>
            </c:strRef>
          </c:tx>
          <c:spPr>
            <a:ln w="19050">
              <a:solidFill>
                <a:srgbClr val="0000FF"/>
              </a:solidFill>
            </a:ln>
          </c:spPr>
          <c:marker>
            <c:symbol val="none"/>
          </c:marker>
          <c:xVal>
            <c:numRef>
              <c:f>BPkW_Si!$R$21:$R$73</c:f>
              <c:numCache>
                <c:formatCode>0.0</c:formatCode>
                <c:ptCount val="53"/>
                <c:pt idx="0">
                  <c:v>0</c:v>
                </c:pt>
                <c:pt idx="1">
                  <c:v>9.1822391102873019E-3</c:v>
                </c:pt>
                <c:pt idx="2">
                  <c:v>1.6392459598853875</c:v>
                </c:pt>
                <c:pt idx="3">
                  <c:v>3.0428330061349689</c:v>
                </c:pt>
                <c:pt idx="4">
                  <c:v>4.4517452928471606</c:v>
                </c:pt>
                <c:pt idx="5">
                  <c:v>5.8197291199999999</c:v>
                </c:pt>
                <c:pt idx="6">
                  <c:v>7.2847719823189374</c:v>
                </c:pt>
                <c:pt idx="7">
                  <c:v>9.0643936494957753</c:v>
                </c:pt>
                <c:pt idx="8">
                  <c:v>11.544113240608915</c:v>
                </c:pt>
                <c:pt idx="9">
                  <c:v>13.286777320406857</c:v>
                </c:pt>
                <c:pt idx="10">
                  <c:v>15.641318902439018</c:v>
                </c:pt>
                <c:pt idx="11">
                  <c:v>16.835572620606708</c:v>
                </c:pt>
                <c:pt idx="12">
                  <c:v>18.251960882259599</c:v>
                </c:pt>
                <c:pt idx="13">
                  <c:v>20.035098241520856</c:v>
                </c:pt>
                <c:pt idx="14">
                  <c:v>21.109911093159614</c:v>
                </c:pt>
                <c:pt idx="15">
                  <c:v>22.364501312288862</c:v>
                </c:pt>
                <c:pt idx="16">
                  <c:v>23.873363563829777</c:v>
                </c:pt>
                <c:pt idx="17">
                  <c:v>25.81</c:v>
                </c:pt>
                <c:pt idx="18">
                  <c:v>34.884883747068066</c:v>
                </c:pt>
                <c:pt idx="19">
                  <c:v>39.128296020678462</c:v>
                </c:pt>
                <c:pt idx="20">
                  <c:v>42.487026640598408</c:v>
                </c:pt>
                <c:pt idx="21">
                  <c:v>45.512578230865728</c:v>
                </c:pt>
                <c:pt idx="22">
                  <c:v>48.368572898799307</c:v>
                </c:pt>
                <c:pt idx="23">
                  <c:v>51.129023793892138</c:v>
                </c:pt>
                <c:pt idx="24">
                  <c:v>53.859558034201228</c:v>
                </c:pt>
                <c:pt idx="25">
                  <c:v>56.552031578947414</c:v>
                </c:pt>
                <c:pt idx="26">
                  <c:v>59.21679369055169</c:v>
                </c:pt>
                <c:pt idx="27">
                  <c:v>61.896856585890511</c:v>
                </c:pt>
                <c:pt idx="28">
                  <c:v>67.315805628845879</c:v>
                </c:pt>
                <c:pt idx="29">
                  <c:v>72.864960048986291</c:v>
                </c:pt>
                <c:pt idx="30">
                  <c:v>78.611087440468125</c:v>
                </c:pt>
                <c:pt idx="31">
                  <c:v>84.642282467909382</c:v>
                </c:pt>
                <c:pt idx="32">
                  <c:v>91.168148002045555</c:v>
                </c:pt>
                <c:pt idx="33">
                  <c:v>97.742138527284766</c:v>
                </c:pt>
                <c:pt idx="34">
                  <c:v>105.03206212187048</c:v>
                </c:pt>
                <c:pt idx="35">
                  <c:v>112.41915041478244</c:v>
                </c:pt>
                <c:pt idx="36">
                  <c:v>120.68865993951682</c:v>
                </c:pt>
                <c:pt idx="37">
                  <c:v>129.25948793402594</c:v>
                </c:pt>
                <c:pt idx="38">
                  <c:v>138.657423513065</c:v>
                </c:pt>
                <c:pt idx="39">
                  <c:v>148.85589995857751</c:v>
                </c:pt>
                <c:pt idx="40">
                  <c:v>159.6918914524598</c:v>
                </c:pt>
                <c:pt idx="41">
                  <c:v>171.70002903692296</c:v>
                </c:pt>
                <c:pt idx="42">
                  <c:v>184.91974056523</c:v>
                </c:pt>
                <c:pt idx="43">
                  <c:v>223.69538315069593</c:v>
                </c:pt>
                <c:pt idx="44">
                  <c:v>275.59525447390911</c:v>
                </c:pt>
                <c:pt idx="45">
                  <c:v>350.11878664496953</c:v>
                </c:pt>
                <c:pt idx="46">
                  <c:v>464.33729154424657</c:v>
                </c:pt>
                <c:pt idx="47">
                  <c:v>629.88946411365691</c:v>
                </c:pt>
                <c:pt idx="48">
                  <c:v>896.70505284637761</c:v>
                </c:pt>
                <c:pt idx="49">
                  <c:v>1366.5414242164236</c:v>
                </c:pt>
                <c:pt idx="50">
                  <c:v>2327.27706036261</c:v>
                </c:pt>
                <c:pt idx="51">
                  <c:v>4624.8088258038188</c:v>
                </c:pt>
                <c:pt idx="52">
                  <c:v>13462.107683894623</c:v>
                </c:pt>
              </c:numCache>
            </c:numRef>
          </c:xVal>
          <c:yVal>
            <c:numRef>
              <c:f>BPkW_Si!$W$21:$W$73</c:f>
              <c:numCache>
                <c:formatCode>0.00</c:formatCode>
                <c:ptCount val="53"/>
                <c:pt idx="0" formatCode="0.0">
                  <c:v>0</c:v>
                </c:pt>
                <c:pt idx="1">
                  <c:v>3.7730317886932347</c:v>
                </c:pt>
                <c:pt idx="2">
                  <c:v>1.8673434613180511</c:v>
                </c:pt>
                <c:pt idx="3">
                  <c:v>1.1038658036809816</c:v>
                </c:pt>
                <c:pt idx="4">
                  <c:v>0.7350173111421674</c:v>
                </c:pt>
                <c:pt idx="5">
                  <c:v>0.53191319999999997</c:v>
                </c:pt>
                <c:pt idx="6">
                  <c:v>0.39838104862291746</c:v>
                </c:pt>
                <c:pt idx="7">
                  <c:v>0.29722925102207692</c:v>
                </c:pt>
                <c:pt idx="8">
                  <c:v>0.21463305574416819</c:v>
                </c:pt>
                <c:pt idx="9">
                  <c:v>0.17819968022886221</c:v>
                </c:pt>
                <c:pt idx="10">
                  <c:v>0.14441453658536593</c:v>
                </c:pt>
                <c:pt idx="11">
                  <c:v>0.13142438626219433</c:v>
                </c:pt>
                <c:pt idx="12">
                  <c:v>0.11865644544589019</c:v>
                </c:pt>
                <c:pt idx="13">
                  <c:v>0.10593284631669901</c:v>
                </c:pt>
                <c:pt idx="14">
                  <c:v>9.9430785016286605E-2</c:v>
                </c:pt>
                <c:pt idx="15">
                  <c:v>9.2737268992317698E-2</c:v>
                </c:pt>
                <c:pt idx="16">
                  <c:v>8.5833461702127703E-2</c:v>
                </c:pt>
                <c:pt idx="17">
                  <c:v>7.8340000000000007E-2</c:v>
                </c:pt>
                <c:pt idx="18">
                  <c:v>5.6272354495699686E-2</c:v>
                </c:pt>
                <c:pt idx="19">
                  <c:v>4.9892515824743869E-2</c:v>
                </c:pt>
                <c:pt idx="20">
                  <c:v>4.5902465759945624E-2</c:v>
                </c:pt>
                <c:pt idx="21">
                  <c:v>4.2867838728565477E-2</c:v>
                </c:pt>
                <c:pt idx="22">
                  <c:v>4.0390086782509271E-2</c:v>
                </c:pt>
                <c:pt idx="23">
                  <c:v>3.8364864567507671E-2</c:v>
                </c:pt>
                <c:pt idx="24">
                  <c:v>3.6504020058542579E-2</c:v>
                </c:pt>
                <c:pt idx="25">
                  <c:v>3.4881822556390954E-2</c:v>
                </c:pt>
                <c:pt idx="26">
                  <c:v>3.343338043301023E-2</c:v>
                </c:pt>
                <c:pt idx="27">
                  <c:v>3.2094836980024417E-2</c:v>
                </c:pt>
                <c:pt idx="28">
                  <c:v>2.9760926313901741E-2</c:v>
                </c:pt>
                <c:pt idx="29">
                  <c:v>2.7757649693835883E-2</c:v>
                </c:pt>
                <c:pt idx="30">
                  <c:v>2.6009636830407756E-2</c:v>
                </c:pt>
                <c:pt idx="31">
                  <c:v>2.4459732661730207E-2</c:v>
                </c:pt>
                <c:pt idx="32">
                  <c:v>2.3103490004139554E-2</c:v>
                </c:pt>
                <c:pt idx="33">
                  <c:v>2.1765730352838027E-2</c:v>
                </c:pt>
                <c:pt idx="34">
                  <c:v>2.0613899471510169E-2</c:v>
                </c:pt>
                <c:pt idx="35">
                  <c:v>1.9485258685459021E-2</c:v>
                </c:pt>
                <c:pt idx="36">
                  <c:v>1.8507022345531709E-2</c:v>
                </c:pt>
                <c:pt idx="37">
                  <c:v>1.7554838286654186E-2</c:v>
                </c:pt>
                <c:pt idx="38">
                  <c:v>1.667416673501422E-2</c:v>
                </c:pt>
                <c:pt idx="39">
                  <c:v>1.5841630854200327E-2</c:v>
                </c:pt>
                <c:pt idx="40">
                  <c:v>1.5045095859004574E-2</c:v>
                </c:pt>
                <c:pt idx="41">
                  <c:v>1.4304917420225575E-2</c:v>
                </c:pt>
                <c:pt idx="42">
                  <c:v>1.3593209249214949E-2</c:v>
                </c:pt>
                <c:pt idx="43">
                  <c:v>1.1954801352296559E-2</c:v>
                </c:pt>
                <c:pt idx="44">
                  <c:v>1.0446248312291248E-2</c:v>
                </c:pt>
                <c:pt idx="45">
                  <c:v>9.013167882482253E-3</c:v>
                </c:pt>
                <c:pt idx="46">
                  <c:v>7.5855672786725257E-3</c:v>
                </c:pt>
                <c:pt idx="47">
                  <c:v>6.3222267984173429E-3</c:v>
                </c:pt>
                <c:pt idx="48">
                  <c:v>5.1578530795818849E-3</c:v>
                </c:pt>
                <c:pt idx="49">
                  <c:v>4.0689382997546103E-3</c:v>
                </c:pt>
                <c:pt idx="50">
                  <c:v>3.0427912575677566E-3</c:v>
                </c:pt>
                <c:pt idx="51">
                  <c:v>2.081944729893051E-3</c:v>
                </c:pt>
                <c:pt idx="52">
                  <c:v>1.1629512282569667E-3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BPkW_Si!$Y$4</c:f>
              <c:strCache>
                <c:ptCount val="1"/>
                <c:pt idx="0">
                  <c:v>132Xe</c:v>
                </c:pt>
              </c:strCache>
            </c:strRef>
          </c:tx>
          <c:spPr>
            <a:ln>
              <a:solidFill>
                <a:srgbClr val="008000"/>
              </a:solidFill>
            </a:ln>
          </c:spPr>
          <c:marker>
            <c:symbol val="none"/>
          </c:marker>
          <c:xVal>
            <c:numRef>
              <c:f>BPkW_Si!$AA$21:$AA$73</c:f>
              <c:numCache>
                <c:formatCode>0.0</c:formatCode>
                <c:ptCount val="53"/>
                <c:pt idx="0">
                  <c:v>0</c:v>
                </c:pt>
                <c:pt idx="1">
                  <c:v>1.6941221374045804E-2</c:v>
                </c:pt>
                <c:pt idx="2">
                  <c:v>2.1188161764705886</c:v>
                </c:pt>
                <c:pt idx="3">
                  <c:v>4.5790172684458392</c:v>
                </c:pt>
                <c:pt idx="4">
                  <c:v>6.7284564902686181</c:v>
                </c:pt>
                <c:pt idx="5">
                  <c:v>8.9280586099857935</c:v>
                </c:pt>
                <c:pt idx="6">
                  <c:v>11.451849460696826</c:v>
                </c:pt>
                <c:pt idx="7">
                  <c:v>14.477104172133297</c:v>
                </c:pt>
                <c:pt idx="8">
                  <c:v>18.222442545109217</c:v>
                </c:pt>
                <c:pt idx="9">
                  <c:v>20.503538691937543</c:v>
                </c:pt>
                <c:pt idx="10">
                  <c:v>23.272675671558424</c:v>
                </c:pt>
                <c:pt idx="11">
                  <c:v>24.548784342492933</c:v>
                </c:pt>
                <c:pt idx="12">
                  <c:v>25.974269064250642</c:v>
                </c:pt>
                <c:pt idx="13">
                  <c:v>27.647236451612873</c:v>
                </c:pt>
                <c:pt idx="14">
                  <c:v>28.933435403225801</c:v>
                </c:pt>
                <c:pt idx="15">
                  <c:v>31.382514010695175</c:v>
                </c:pt>
                <c:pt idx="16">
                  <c:v>33.706002061122987</c:v>
                </c:pt>
                <c:pt idx="17">
                  <c:v>41.54</c:v>
                </c:pt>
                <c:pt idx="18">
                  <c:v>48.882362684936133</c:v>
                </c:pt>
                <c:pt idx="19">
                  <c:v>53.06952160832482</c:v>
                </c:pt>
                <c:pt idx="20">
                  <c:v>56.594716509855786</c:v>
                </c:pt>
                <c:pt idx="21">
                  <c:v>59.997281671086995</c:v>
                </c:pt>
                <c:pt idx="22">
                  <c:v>63.160633577043235</c:v>
                </c:pt>
                <c:pt idx="23">
                  <c:v>66.283479998626959</c:v>
                </c:pt>
                <c:pt idx="24">
                  <c:v>69.363297457453768</c:v>
                </c:pt>
                <c:pt idx="25">
                  <c:v>72.429117466560228</c:v>
                </c:pt>
                <c:pt idx="26">
                  <c:v>75.528543633978373</c:v>
                </c:pt>
                <c:pt idx="27">
                  <c:v>78.653408986553004</c:v>
                </c:pt>
                <c:pt idx="28">
                  <c:v>85.069544035111079</c:v>
                </c:pt>
                <c:pt idx="29">
                  <c:v>91.767056456518077</c:v>
                </c:pt>
                <c:pt idx="30">
                  <c:v>98.835599258226438</c:v>
                </c:pt>
                <c:pt idx="31">
                  <c:v>106.30274435142485</c:v>
                </c:pt>
                <c:pt idx="32">
                  <c:v>114.24327620237931</c:v>
                </c:pt>
                <c:pt idx="33">
                  <c:v>122.79188788600099</c:v>
                </c:pt>
                <c:pt idx="34">
                  <c:v>131.93034918093676</c:v>
                </c:pt>
                <c:pt idx="35">
                  <c:v>142.04063857993194</c:v>
                </c:pt>
                <c:pt idx="36">
                  <c:v>152.61912142622108</c:v>
                </c:pt>
                <c:pt idx="37">
                  <c:v>164.45792396585449</c:v>
                </c:pt>
                <c:pt idx="38">
                  <c:v>176.92578940869819</c:v>
                </c:pt>
                <c:pt idx="39">
                  <c:v>190.72611103203482</c:v>
                </c:pt>
                <c:pt idx="40">
                  <c:v>205.93739874529516</c:v>
                </c:pt>
                <c:pt idx="41">
                  <c:v>222.21614520662854</c:v>
                </c:pt>
                <c:pt idx="42">
                  <c:v>240.55222391328022</c:v>
                </c:pt>
                <c:pt idx="43">
                  <c:v>295.07670198855277</c:v>
                </c:pt>
                <c:pt idx="44">
                  <c:v>368.52115718961664</c:v>
                </c:pt>
                <c:pt idx="45">
                  <c:v>471.56269078351551</c:v>
                </c:pt>
                <c:pt idx="46">
                  <c:v>619.45411661637434</c:v>
                </c:pt>
                <c:pt idx="47">
                  <c:v>847.30865718362691</c:v>
                </c:pt>
                <c:pt idx="48">
                  <c:v>1214.6033276247326</c:v>
                </c:pt>
                <c:pt idx="49">
                  <c:v>1867.8033464885993</c:v>
                </c:pt>
                <c:pt idx="50">
                  <c:v>3232.6864076734892</c:v>
                </c:pt>
                <c:pt idx="51">
                  <c:v>6819.4607242098909</c:v>
                </c:pt>
                <c:pt idx="52">
                  <c:v>23139.243036335869</c:v>
                </c:pt>
              </c:numCache>
            </c:numRef>
          </c:xVal>
          <c:yVal>
            <c:numRef>
              <c:f>BPkW_Si!$AF$21:$AF$73</c:f>
              <c:numCache>
                <c:formatCode>0.00</c:formatCode>
                <c:ptCount val="53"/>
                <c:pt idx="0" formatCode="0.0">
                  <c:v>0</c:v>
                </c:pt>
                <c:pt idx="1">
                  <c:v>6.3931969465648866</c:v>
                </c:pt>
                <c:pt idx="2">
                  <c:v>3.0210785294117644</c:v>
                </c:pt>
                <c:pt idx="3">
                  <c:v>1.5763586970172687</c:v>
                </c:pt>
                <c:pt idx="4">
                  <c:v>1.0477442046002894</c:v>
                </c:pt>
                <c:pt idx="5">
                  <c:v>0.74523834113747578</c:v>
                </c:pt>
                <c:pt idx="6">
                  <c:v>0.5409531605493908</c:v>
                </c:pt>
                <c:pt idx="7">
                  <c:v>0.39649434006822365</c:v>
                </c:pt>
                <c:pt idx="8">
                  <c:v>0.29155836657169981</c:v>
                </c:pt>
                <c:pt idx="9">
                  <c:v>0.24907479082785036</c:v>
                </c:pt>
                <c:pt idx="10">
                  <c:v>0.21109570558066318</c:v>
                </c:pt>
                <c:pt idx="11">
                  <c:v>0.19668365750706512</c:v>
                </c:pt>
                <c:pt idx="12">
                  <c:v>0.18267183304516216</c:v>
                </c:pt>
                <c:pt idx="13">
                  <c:v>0.16858270967741959</c:v>
                </c:pt>
                <c:pt idx="14">
                  <c:v>0.15899613364055304</c:v>
                </c:pt>
                <c:pt idx="15">
                  <c:v>0.14374264171123</c:v>
                </c:pt>
                <c:pt idx="16">
                  <c:v>0.13152139090262954</c:v>
                </c:pt>
                <c:pt idx="17">
                  <c:v>0.10290000000000001</c:v>
                </c:pt>
                <c:pt idx="18">
                  <c:v>8.5971147108271639E-2</c:v>
                </c:pt>
                <c:pt idx="19">
                  <c:v>7.874203185502418E-2</c:v>
                </c:pt>
                <c:pt idx="20">
                  <c:v>7.3848430344627264E-2</c:v>
                </c:pt>
                <c:pt idx="21">
                  <c:v>6.9412375765265086E-2</c:v>
                </c:pt>
                <c:pt idx="22">
                  <c:v>6.6062726633027813E-2</c:v>
                </c:pt>
                <c:pt idx="23">
                  <c:v>6.2897036281879676E-2</c:v>
                </c:pt>
                <c:pt idx="24">
                  <c:v>6.0252098620175387E-2</c:v>
                </c:pt>
                <c:pt idx="25">
                  <c:v>5.777656335909092E-2</c:v>
                </c:pt>
                <c:pt idx="26">
                  <c:v>5.5545015086913736E-2</c:v>
                </c:pt>
                <c:pt idx="27">
                  <c:v>5.34981600524762E-2</c:v>
                </c:pt>
                <c:pt idx="28">
                  <c:v>4.9808257481047995E-2</c:v>
                </c:pt>
                <c:pt idx="29">
                  <c:v>4.6558691611139562E-2</c:v>
                </c:pt>
                <c:pt idx="30">
                  <c:v>4.3643426229624215E-2</c:v>
                </c:pt>
                <c:pt idx="31">
                  <c:v>4.1014163996298626E-2</c:v>
                </c:pt>
                <c:pt idx="32">
                  <c:v>3.8615719369908298E-2</c:v>
                </c:pt>
                <c:pt idx="33">
                  <c:v>3.6399009760851142E-2</c:v>
                </c:pt>
                <c:pt idx="34">
                  <c:v>3.4350614400660187E-2</c:v>
                </c:pt>
                <c:pt idx="35">
                  <c:v>3.2486666109881164E-2</c:v>
                </c:pt>
                <c:pt idx="36">
                  <c:v>3.0689962795919533E-2</c:v>
                </c:pt>
                <c:pt idx="37">
                  <c:v>2.9052396004723074E-2</c:v>
                </c:pt>
                <c:pt idx="38">
                  <c:v>2.7467102208807773E-2</c:v>
                </c:pt>
                <c:pt idx="39">
                  <c:v>2.5992531005624885E-2</c:v>
                </c:pt>
                <c:pt idx="40">
                  <c:v>2.4600025946355412E-2</c:v>
                </c:pt>
                <c:pt idx="41">
                  <c:v>2.3265981550216627E-2</c:v>
                </c:pt>
                <c:pt idx="42">
                  <c:v>2.2023952726312655E-2</c:v>
                </c:pt>
                <c:pt idx="43">
                  <c:v>1.9156593308990406E-2</c:v>
                </c:pt>
                <c:pt idx="44">
                  <c:v>1.6572857977617511E-2</c:v>
                </c:pt>
                <c:pt idx="45">
                  <c:v>1.4175357789855052E-2</c:v>
                </c:pt>
                <c:pt idx="46">
                  <c:v>1.1972291119114815E-2</c:v>
                </c:pt>
                <c:pt idx="47">
                  <c:v>9.9525689238013741E-3</c:v>
                </c:pt>
                <c:pt idx="48">
                  <c:v>8.0637711946104605E-3</c:v>
                </c:pt>
                <c:pt idx="49">
                  <c:v>6.2976953468806187E-3</c:v>
                </c:pt>
                <c:pt idx="50">
                  <c:v>4.6365297432663429E-3</c:v>
                </c:pt>
                <c:pt idx="51">
                  <c:v>3.06260633583665E-3</c:v>
                </c:pt>
                <c:pt idx="52">
                  <c:v>1.5223101911623742E-3</c:v>
                </c:pt>
              </c:numCache>
            </c:numRef>
          </c:yVal>
          <c:smooth val="0"/>
        </c:ser>
        <c:ser>
          <c:idx val="3"/>
          <c:order val="3"/>
          <c:tx>
            <c:strRef>
              <c:f>BPkW_Si!$AH$4</c:f>
              <c:strCache>
                <c:ptCount val="1"/>
                <c:pt idx="0">
                  <c:v>197Au</c:v>
                </c:pt>
              </c:strCache>
            </c:strRef>
          </c:tx>
          <c:spPr>
            <a:ln>
              <a:solidFill>
                <a:srgbClr val="7030A0"/>
              </a:solidFill>
            </a:ln>
          </c:spPr>
          <c:marker>
            <c:symbol val="none"/>
          </c:marker>
          <c:xVal>
            <c:numRef>
              <c:f>BPkW_Si!$AJ$21:$AJ$73</c:f>
              <c:numCache>
                <c:formatCode>0.0</c:formatCode>
                <c:ptCount val="53"/>
                <c:pt idx="0">
                  <c:v>0</c:v>
                </c:pt>
                <c:pt idx="1">
                  <c:v>2.073153352353781E-2</c:v>
                </c:pt>
                <c:pt idx="2">
                  <c:v>0.16885783673469418</c:v>
                </c:pt>
                <c:pt idx="3">
                  <c:v>9.0749390000000005</c:v>
                </c:pt>
                <c:pt idx="4">
                  <c:v>11.824152233009711</c:v>
                </c:pt>
                <c:pt idx="5">
                  <c:v>14.436469157769869</c:v>
                </c:pt>
                <c:pt idx="6">
                  <c:v>17.21158439497097</c:v>
                </c:pt>
                <c:pt idx="7">
                  <c:v>20.442329443752126</c:v>
                </c:pt>
                <c:pt idx="8">
                  <c:v>24.535882484376643</c:v>
                </c:pt>
                <c:pt idx="9">
                  <c:v>27.073269327467006</c:v>
                </c:pt>
                <c:pt idx="10">
                  <c:v>30.164063001993743</c:v>
                </c:pt>
                <c:pt idx="11">
                  <c:v>31.626904686005744</c:v>
                </c:pt>
                <c:pt idx="12">
                  <c:v>33.305617835723595</c:v>
                </c:pt>
                <c:pt idx="13">
                  <c:v>35.86524384940612</c:v>
                </c:pt>
                <c:pt idx="14">
                  <c:v>38.097624317617893</c:v>
                </c:pt>
                <c:pt idx="15">
                  <c:v>40.221500880304838</c:v>
                </c:pt>
                <c:pt idx="16">
                  <c:v>43.357341288872284</c:v>
                </c:pt>
                <c:pt idx="17">
                  <c:v>51.65</c:v>
                </c:pt>
                <c:pt idx="18">
                  <c:v>63.705531475028991</c:v>
                </c:pt>
                <c:pt idx="19">
                  <c:v>69.987286656630587</c:v>
                </c:pt>
                <c:pt idx="20">
                  <c:v>75.406820256410214</c:v>
                </c:pt>
                <c:pt idx="21">
                  <c:v>80.578275625704592</c:v>
                </c:pt>
                <c:pt idx="22">
                  <c:v>85.645512385628166</c:v>
                </c:pt>
                <c:pt idx="23">
                  <c:v>90.717297537272202</c:v>
                </c:pt>
                <c:pt idx="24">
                  <c:v>95.828038884419456</c:v>
                </c:pt>
                <c:pt idx="25">
                  <c:v>101.10010218811129</c:v>
                </c:pt>
                <c:pt idx="26">
                  <c:v>106.48616528074849</c:v>
                </c:pt>
                <c:pt idx="27">
                  <c:v>112.05775764933514</c:v>
                </c:pt>
                <c:pt idx="28">
                  <c:v>123.62672135002771</c:v>
                </c:pt>
                <c:pt idx="29">
                  <c:v>136.02857450927928</c:v>
                </c:pt>
                <c:pt idx="30">
                  <c:v>149.4010574417162</c:v>
                </c:pt>
                <c:pt idx="31">
                  <c:v>163.8633358635517</c:v>
                </c:pt>
                <c:pt idx="32">
                  <c:v>179.28027559220786</c:v>
                </c:pt>
                <c:pt idx="33">
                  <c:v>195.85388529843866</c:v>
                </c:pt>
                <c:pt idx="34">
                  <c:v>213.46624091883439</c:v>
                </c:pt>
                <c:pt idx="35">
                  <c:v>232.37131647277047</c:v>
                </c:pt>
                <c:pt idx="36">
                  <c:v>251.78909691416069</c:v>
                </c:pt>
                <c:pt idx="37">
                  <c:v>272.82717243303017</c:v>
                </c:pt>
                <c:pt idx="38">
                  <c:v>294.74727618042016</c:v>
                </c:pt>
                <c:pt idx="39">
                  <c:v>317.58086914779665</c:v>
                </c:pt>
                <c:pt idx="40">
                  <c:v>343.00443807025539</c:v>
                </c:pt>
                <c:pt idx="41">
                  <c:v>374.03295169481095</c:v>
                </c:pt>
                <c:pt idx="42">
                  <c:v>410.56098513904828</c:v>
                </c:pt>
                <c:pt idx="43">
                  <c:v>521.35247476990264</c:v>
                </c:pt>
                <c:pt idx="44">
                  <c:v>668.8559913327781</c:v>
                </c:pt>
                <c:pt idx="45">
                  <c:v>874.11993975231655</c:v>
                </c:pt>
                <c:pt idx="46">
                  <c:v>1177.9202643641424</c:v>
                </c:pt>
                <c:pt idx="47">
                  <c:v>1647.4645253220963</c:v>
                </c:pt>
                <c:pt idx="48">
                  <c:v>2440.4608306316104</c:v>
                </c:pt>
                <c:pt idx="49">
                  <c:v>3915.6873712128768</c:v>
                </c:pt>
                <c:pt idx="50">
                  <c:v>7298.4044182635425</c:v>
                </c:pt>
                <c:pt idx="51">
                  <c:v>18486.873108658783</c:v>
                </c:pt>
              </c:numCache>
            </c:numRef>
          </c:xVal>
          <c:yVal>
            <c:numRef>
              <c:f>BPkW_Si!$AO$21:$AO$73</c:f>
              <c:numCache>
                <c:formatCode>0.00</c:formatCode>
                <c:ptCount val="53"/>
                <c:pt idx="0" formatCode="0.0">
                  <c:v>0</c:v>
                </c:pt>
                <c:pt idx="1">
                  <c:v>8.4326744650499297</c:v>
                </c:pt>
                <c:pt idx="2">
                  <c:v>13.351436734693875</c:v>
                </c:pt>
                <c:pt idx="3">
                  <c:v>2.0196057500000002</c:v>
                </c:pt>
                <c:pt idx="4">
                  <c:v>1.4997654368932036</c:v>
                </c:pt>
                <c:pt idx="5">
                  <c:v>1.1582992882562277</c:v>
                </c:pt>
                <c:pt idx="6">
                  <c:v>0.90540188463305626</c:v>
                </c:pt>
                <c:pt idx="7">
                  <c:v>0.70362333522147935</c:v>
                </c:pt>
                <c:pt idx="8">
                  <c:v>0.5383698383549208</c:v>
                </c:pt>
                <c:pt idx="9">
                  <c:v>0.46601535332674859</c:v>
                </c:pt>
                <c:pt idx="10">
                  <c:v>0.3985310680717743</c:v>
                </c:pt>
                <c:pt idx="11">
                  <c:v>0.3725212394007012</c:v>
                </c:pt>
                <c:pt idx="12">
                  <c:v>0.34653850847457623</c:v>
                </c:pt>
                <c:pt idx="13">
                  <c:v>0.31283945721763595</c:v>
                </c:pt>
                <c:pt idx="14">
                  <c:v>0.28826612826875331</c:v>
                </c:pt>
                <c:pt idx="15">
                  <c:v>0.26819897989751657</c:v>
                </c:pt>
                <c:pt idx="16">
                  <c:v>0.24364721693518138</c:v>
                </c:pt>
                <c:pt idx="17">
                  <c:v>0.19620000000000001</c:v>
                </c:pt>
                <c:pt idx="18">
                  <c:v>0.15439560743321731</c:v>
                </c:pt>
                <c:pt idx="19">
                  <c:v>0.13914461913233894</c:v>
                </c:pt>
                <c:pt idx="20">
                  <c:v>0.12863835897435905</c:v>
                </c:pt>
                <c:pt idx="21">
                  <c:v>0.12014077113866974</c:v>
                </c:pt>
                <c:pt idx="22">
                  <c:v>0.1129534902923455</c:v>
                </c:pt>
                <c:pt idx="23">
                  <c:v>0.10669050690226396</c:v>
                </c:pt>
                <c:pt idx="24">
                  <c:v>0.10114620470188608</c:v>
                </c:pt>
                <c:pt idx="25">
                  <c:v>9.618033339814927E-2</c:v>
                </c:pt>
                <c:pt idx="26">
                  <c:v>9.1571417685612028E-2</c:v>
                </c:pt>
                <c:pt idx="27">
                  <c:v>8.7377105298101179E-2</c:v>
                </c:pt>
                <c:pt idx="28">
                  <c:v>7.9797490829916218E-2</c:v>
                </c:pt>
                <c:pt idx="29">
                  <c:v>7.3237340867950043E-2</c:v>
                </c:pt>
                <c:pt idx="30">
                  <c:v>6.7484340749933508E-2</c:v>
                </c:pt>
                <c:pt idx="31">
                  <c:v>6.2379823419807939E-2</c:v>
                </c:pt>
                <c:pt idx="32">
                  <c:v>5.7869929133432266E-2</c:v>
                </c:pt>
                <c:pt idx="33">
                  <c:v>5.3819730776144728E-2</c:v>
                </c:pt>
                <c:pt idx="34">
                  <c:v>5.0202315769267647E-2</c:v>
                </c:pt>
                <c:pt idx="35">
                  <c:v>4.7047236778508361E-2</c:v>
                </c:pt>
                <c:pt idx="36">
                  <c:v>4.4068110320223404E-2</c:v>
                </c:pt>
                <c:pt idx="37">
                  <c:v>4.1526903175373872E-2</c:v>
                </c:pt>
                <c:pt idx="38">
                  <c:v>3.9168965853797713E-2</c:v>
                </c:pt>
                <c:pt idx="39">
                  <c:v>3.6992797260869376E-2</c:v>
                </c:pt>
                <c:pt idx="40">
                  <c:v>3.502828146244559E-2</c:v>
                </c:pt>
                <c:pt idx="41">
                  <c:v>3.2918759561895786E-2</c:v>
                </c:pt>
                <c:pt idx="42">
                  <c:v>3.0813791732994276E-2</c:v>
                </c:pt>
                <c:pt idx="43">
                  <c:v>2.6142460035523944E-2</c:v>
                </c:pt>
                <c:pt idx="44">
                  <c:v>2.2107786718935405E-2</c:v>
                </c:pt>
                <c:pt idx="45">
                  <c:v>1.8554510135872577E-2</c:v>
                </c:pt>
                <c:pt idx="46">
                  <c:v>1.5392695874640212E-2</c:v>
                </c:pt>
                <c:pt idx="47">
                  <c:v>1.2534226483801363E-2</c:v>
                </c:pt>
                <c:pt idx="48">
                  <c:v>9.9133645375129413E-3</c:v>
                </c:pt>
                <c:pt idx="49">
                  <c:v>7.4858641320314735E-3</c:v>
                </c:pt>
                <c:pt idx="50">
                  <c:v>5.2010556077425902E-3</c:v>
                </c:pt>
                <c:pt idx="51">
                  <c:v>2.9901300071000568E-3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4117744"/>
        <c:axId val="454118136"/>
      </c:scatterChart>
      <c:valAx>
        <c:axId val="454117744"/>
        <c:scaling>
          <c:orientation val="maxMin"/>
          <c:max val="200"/>
          <c:min val="-50"/>
        </c:scaling>
        <c:delete val="0"/>
        <c:axPos val="b"/>
        <c:majorGridlines>
          <c:spPr>
            <a:ln>
              <a:solidFill>
                <a:schemeClr val="tx2">
                  <a:lumMod val="40000"/>
                  <a:lumOff val="60000"/>
                </a:schemeClr>
              </a:solidFill>
              <a:prstDash val="dash"/>
            </a:ln>
          </c:spPr>
        </c:majorGridlines>
        <c:title>
          <c:tx>
            <c:strRef>
              <c:f>BPkW_Si!$C$85</c:f>
              <c:strCache>
                <c:ptCount val="1"/>
                <c:pt idx="0">
                  <c:v>Thick [μm] Si</c:v>
                </c:pt>
              </c:strCache>
            </c:strRef>
          </c:tx>
          <c:layout>
            <c:manualLayout>
              <c:xMode val="edge"/>
              <c:yMode val="edge"/>
              <c:x val="0.32492175925925926"/>
              <c:y val="0.94530462962962958"/>
            </c:manualLayout>
          </c:layout>
          <c:overlay val="0"/>
          <c:spPr>
            <a:solidFill>
              <a:schemeClr val="bg1"/>
            </a:solidFill>
          </c:spPr>
          <c:txPr>
            <a:bodyPr/>
            <a:lstStyle/>
            <a:p>
              <a:pPr>
                <a:defRPr sz="1200">
                  <a:solidFill>
                    <a:schemeClr val="tx1"/>
                  </a:solidFill>
                </a:defRPr>
              </a:pPr>
              <a:endParaRPr lang="ja-JP"/>
            </a:p>
          </c:txPr>
        </c:title>
        <c:numFmt formatCode="0_ " sourceLinked="0"/>
        <c:majorTickMark val="cross"/>
        <c:minorTickMark val="out"/>
        <c:tickLblPos val="nextTo"/>
        <c:txPr>
          <a:bodyPr/>
          <a:lstStyle/>
          <a:p>
            <a:pPr>
              <a:defRPr sz="1100">
                <a:latin typeface="+mn-ea"/>
                <a:ea typeface="+mn-ea"/>
              </a:defRPr>
            </a:pPr>
            <a:endParaRPr lang="ja-JP"/>
          </a:p>
        </c:txPr>
        <c:crossAx val="454118136"/>
        <c:crosses val="autoZero"/>
        <c:crossBetween val="midCat"/>
      </c:valAx>
      <c:valAx>
        <c:axId val="454118136"/>
        <c:scaling>
          <c:logBase val="10"/>
          <c:orientation val="minMax"/>
          <c:max val="10"/>
          <c:min val="1.0000000000000002E-2"/>
        </c:scaling>
        <c:delete val="0"/>
        <c:axPos val="r"/>
        <c:majorGridlines>
          <c:spPr>
            <a:ln>
              <a:solidFill>
                <a:schemeClr val="tx2">
                  <a:lumMod val="40000"/>
                  <a:lumOff val="60000"/>
                </a:schemeClr>
              </a:solidFill>
              <a:prstDash val="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altLang="en-US" sz="1200"/>
                  <a:t>LETn </a:t>
                </a:r>
                <a:r>
                  <a:rPr lang="en-US" altLang="en-US" sz="1200">
                    <a:solidFill>
                      <a:srgbClr val="FF0000"/>
                    </a:solidFill>
                  </a:rPr>
                  <a:t>in Air </a:t>
                </a:r>
                <a:r>
                  <a:rPr lang="en-US" altLang="en-US" sz="1200" b="0">
                    <a:solidFill>
                      <a:schemeClr val="tx1"/>
                    </a:solidFill>
                  </a:rPr>
                  <a:t>[MeV/(mg/cm2)]</a:t>
                </a:r>
              </a:p>
            </c:rich>
          </c:tx>
          <c:layout>
            <c:manualLayout>
              <c:xMode val="edge"/>
              <c:yMode val="edge"/>
              <c:x val="0.94787563513130357"/>
              <c:y val="8.3963039592056296E-2"/>
            </c:manualLayout>
          </c:layout>
          <c:overlay val="0"/>
        </c:title>
        <c:numFmt formatCode="General" sourceLinked="0"/>
        <c:majorTickMark val="cross"/>
        <c:minorTickMark val="out"/>
        <c:tickLblPos val="nextTo"/>
        <c:txPr>
          <a:bodyPr/>
          <a:lstStyle/>
          <a:p>
            <a:pPr>
              <a:defRPr sz="1100"/>
            </a:pPr>
            <a:endParaRPr lang="ja-JP"/>
          </a:p>
        </c:txPr>
        <c:crossAx val="454117744"/>
        <c:crossesAt val="-100"/>
        <c:crossBetween val="midCat"/>
      </c:valAx>
    </c:plotArea>
    <c:legend>
      <c:legendPos val="r"/>
      <c:layout>
        <c:manualLayout>
          <c:xMode val="edge"/>
          <c:yMode val="edge"/>
          <c:x val="8.6889654520616214E-2"/>
          <c:y val="0.14271005916901672"/>
          <c:w val="0.22996875"/>
          <c:h val="0.15542407407407408"/>
        </c:manualLayout>
      </c:layout>
      <c:overlay val="0"/>
      <c:spPr>
        <a:solidFill>
          <a:schemeClr val="bg1"/>
        </a:solidFill>
      </c:sp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50">
          <a:latin typeface="+mn-ea"/>
          <a:ea typeface="+mn-ea"/>
        </a:defRPr>
      </a:pPr>
      <a:endParaRPr lang="ja-JP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BPkW_Si!$C$79</c:f>
          <c:strCache>
            <c:ptCount val="1"/>
            <c:pt idx="0">
              <c:v>LETt wid. in Si</c:v>
            </c:pt>
          </c:strCache>
        </c:strRef>
      </c:tx>
      <c:layout>
        <c:manualLayout>
          <c:xMode val="edge"/>
          <c:yMode val="edge"/>
          <c:x val="8.1624923689036274E-2"/>
          <c:y val="5.8113042459892281E-2"/>
        </c:manualLayout>
      </c:layout>
      <c:overlay val="0"/>
      <c:txPr>
        <a:bodyPr/>
        <a:lstStyle/>
        <a:p>
          <a:pPr>
            <a:defRPr sz="1400">
              <a:latin typeface="+mn-ea"/>
              <a:ea typeface="+mn-ea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6.1844212962962962E-2"/>
          <c:y val="5.4289891946211082E-2"/>
          <c:w val="0.8070842592592592"/>
          <c:h val="0.84191597222222236"/>
        </c:manualLayout>
      </c:layout>
      <c:scatterChart>
        <c:scatterStyle val="smoothMarker"/>
        <c:varyColors val="0"/>
        <c:ser>
          <c:idx val="0"/>
          <c:order val="0"/>
          <c:tx>
            <c:strRef>
              <c:f>BPkW_Si!$G$4</c:f>
              <c:strCache>
                <c:ptCount val="1"/>
                <c:pt idx="0">
                  <c:v>40Ar</c:v>
                </c:pt>
              </c:strCache>
            </c:strRef>
          </c:tx>
          <c:spPr>
            <a:ln w="19050">
              <a:solidFill>
                <a:srgbClr val="FF0000"/>
              </a:solidFill>
            </a:ln>
          </c:spPr>
          <c:marker>
            <c:symbol val="circle"/>
            <c:size val="3"/>
            <c:spPr>
              <a:noFill/>
              <a:ln>
                <a:solidFill>
                  <a:srgbClr val="FF0000"/>
                </a:solidFill>
              </a:ln>
            </c:spPr>
          </c:marker>
          <c:xVal>
            <c:numRef>
              <c:f>BPkW_Si!$I$21:$I$73</c:f>
              <c:numCache>
                <c:formatCode>0.00</c:formatCode>
                <c:ptCount val="53"/>
                <c:pt idx="0" formatCode="0.0">
                  <c:v>0</c:v>
                </c:pt>
                <c:pt idx="1">
                  <c:v>5.075113924050632E-3</c:v>
                </c:pt>
                <c:pt idx="2">
                  <c:v>0.43448000000000003</c:v>
                </c:pt>
                <c:pt idx="3">
                  <c:v>1.2633245667686033</c:v>
                </c:pt>
                <c:pt idx="4">
                  <c:v>2.0005877600979192</c:v>
                </c:pt>
                <c:pt idx="5">
                  <c:v>2.8191523770824864</c:v>
                </c:pt>
                <c:pt idx="6">
                  <c:v>3.6984264539372091</c:v>
                </c:pt>
                <c:pt idx="7">
                  <c:v>4.687067443978866</c:v>
                </c:pt>
                <c:pt idx="8">
                  <c:v>5.8984175365344464</c:v>
                </c:pt>
                <c:pt idx="9">
                  <c:v>6.6670735270035681</c:v>
                </c:pt>
                <c:pt idx="10">
                  <c:v>7.6475414994232995</c:v>
                </c:pt>
                <c:pt idx="11">
                  <c:v>8.1469460625579089</c:v>
                </c:pt>
                <c:pt idx="12">
                  <c:v>8.7385845242932607</c:v>
                </c:pt>
                <c:pt idx="13">
                  <c:v>9.4893046761545072</c:v>
                </c:pt>
                <c:pt idx="14">
                  <c:v>9.9920869396468071</c:v>
                </c:pt>
                <c:pt idx="15">
                  <c:v>10.631049186187534</c:v>
                </c:pt>
                <c:pt idx="16">
                  <c:v>11.490093674154375</c:v>
                </c:pt>
                <c:pt idx="17">
                  <c:v>13.7</c:v>
                </c:pt>
                <c:pt idx="18">
                  <c:v>17.907745739471139</c:v>
                </c:pt>
                <c:pt idx="19">
                  <c:v>19.786139220462861</c:v>
                </c:pt>
                <c:pt idx="20">
                  <c:v>21.462957308160792</c:v>
                </c:pt>
                <c:pt idx="21">
                  <c:v>22.834971467514787</c:v>
                </c:pt>
                <c:pt idx="22">
                  <c:v>24.112422024080001</c:v>
                </c:pt>
                <c:pt idx="23">
                  <c:v>25.075533961775328</c:v>
                </c:pt>
                <c:pt idx="24">
                  <c:v>25.994415114494707</c:v>
                </c:pt>
                <c:pt idx="25">
                  <c:v>26.967525499412485</c:v>
                </c:pt>
                <c:pt idx="26">
                  <c:v>28.173950176263251</c:v>
                </c:pt>
                <c:pt idx="27">
                  <c:v>29.383055975871599</c:v>
                </c:pt>
                <c:pt idx="28">
                  <c:v>31.854516010632882</c:v>
                </c:pt>
                <c:pt idx="29">
                  <c:v>34.460282979058455</c:v>
                </c:pt>
                <c:pt idx="30">
                  <c:v>37.185131424565967</c:v>
                </c:pt>
                <c:pt idx="31">
                  <c:v>40.14655606234043</c:v>
                </c:pt>
                <c:pt idx="32">
                  <c:v>43.28130734333417</c:v>
                </c:pt>
                <c:pt idx="33">
                  <c:v>46.636928911356584</c:v>
                </c:pt>
                <c:pt idx="34">
                  <c:v>50.334798889979396</c:v>
                </c:pt>
                <c:pt idx="35">
                  <c:v>54.213556722731795</c:v>
                </c:pt>
                <c:pt idx="36">
                  <c:v>58.531730557774615</c:v>
                </c:pt>
                <c:pt idx="37">
                  <c:v>62.944433808277324</c:v>
                </c:pt>
                <c:pt idx="38">
                  <c:v>68.103060455887288</c:v>
                </c:pt>
                <c:pt idx="39">
                  <c:v>73.533806699817433</c:v>
                </c:pt>
                <c:pt idx="40">
                  <c:v>79.426739394869116</c:v>
                </c:pt>
                <c:pt idx="41">
                  <c:v>86.076213751013711</c:v>
                </c:pt>
                <c:pt idx="42">
                  <c:v>93.371171047917031</c:v>
                </c:pt>
                <c:pt idx="43">
                  <c:v>115.31063048200691</c:v>
                </c:pt>
                <c:pt idx="44">
                  <c:v>145.01138238246446</c:v>
                </c:pt>
                <c:pt idx="45">
                  <c:v>184.90216501678302</c:v>
                </c:pt>
                <c:pt idx="46">
                  <c:v>241.72309252701169</c:v>
                </c:pt>
                <c:pt idx="47">
                  <c:v>328.00725278269135</c:v>
                </c:pt>
                <c:pt idx="48">
                  <c:v>463.64966129436374</c:v>
                </c:pt>
                <c:pt idx="49">
                  <c:v>712.62636936909985</c:v>
                </c:pt>
                <c:pt idx="50">
                  <c:v>1178.1976096577093</c:v>
                </c:pt>
                <c:pt idx="51">
                  <c:v>2249.0049847699643</c:v>
                </c:pt>
                <c:pt idx="52">
                  <c:v>5761.1772588414324</c:v>
                </c:pt>
              </c:numCache>
            </c:numRef>
          </c:xVal>
          <c:yVal>
            <c:numRef>
              <c:f>BPkW_Si!$G$21:$G$73</c:f>
              <c:numCache>
                <c:formatCode>0.00</c:formatCode>
                <c:ptCount val="53"/>
                <c:pt idx="0" formatCode="0.0">
                  <c:v>0</c:v>
                </c:pt>
                <c:pt idx="1">
                  <c:v>1.866668</c:v>
                </c:pt>
                <c:pt idx="2">
                  <c:v>3.733336</c:v>
                </c:pt>
                <c:pt idx="3">
                  <c:v>5.6000039999999993</c:v>
                </c:pt>
                <c:pt idx="4">
                  <c:v>7.466672</c:v>
                </c:pt>
                <c:pt idx="5">
                  <c:v>9.3333399999999997</c:v>
                </c:pt>
                <c:pt idx="6">
                  <c:v>11.200007999999999</c:v>
                </c:pt>
                <c:pt idx="7">
                  <c:v>13.066675999999999</c:v>
                </c:pt>
                <c:pt idx="8">
                  <c:v>14.933344</c:v>
                </c:pt>
                <c:pt idx="9">
                  <c:v>15.866677999999999</c:v>
                </c:pt>
                <c:pt idx="10">
                  <c:v>16.800011999999999</c:v>
                </c:pt>
                <c:pt idx="11">
                  <c:v>17.173345600000001</c:v>
                </c:pt>
                <c:pt idx="12">
                  <c:v>17.5466792</c:v>
                </c:pt>
                <c:pt idx="13">
                  <c:v>17.920012799999999</c:v>
                </c:pt>
                <c:pt idx="14">
                  <c:v>18.1066796</c:v>
                </c:pt>
                <c:pt idx="15">
                  <c:v>18.293346400000001</c:v>
                </c:pt>
                <c:pt idx="16">
                  <c:v>18.480013199999998</c:v>
                </c:pt>
                <c:pt idx="17">
                  <c:v>18.666679999999999</c:v>
                </c:pt>
                <c:pt idx="18">
                  <c:v>18.480013199999998</c:v>
                </c:pt>
                <c:pt idx="19">
                  <c:v>18.293346400000001</c:v>
                </c:pt>
                <c:pt idx="20">
                  <c:v>18.1066796</c:v>
                </c:pt>
                <c:pt idx="21">
                  <c:v>17.920012799999999</c:v>
                </c:pt>
                <c:pt idx="22">
                  <c:v>17.733345999999997</c:v>
                </c:pt>
                <c:pt idx="23">
                  <c:v>17.5466792</c:v>
                </c:pt>
                <c:pt idx="24">
                  <c:v>17.360012399999999</c:v>
                </c:pt>
                <c:pt idx="25">
                  <c:v>17.173345599999998</c:v>
                </c:pt>
                <c:pt idx="26">
                  <c:v>16.986678799999996</c:v>
                </c:pt>
                <c:pt idx="27">
                  <c:v>16.800011999999999</c:v>
                </c:pt>
                <c:pt idx="28">
                  <c:v>16.426678399999997</c:v>
                </c:pt>
                <c:pt idx="29">
                  <c:v>16.053344799999998</c:v>
                </c:pt>
                <c:pt idx="30">
                  <c:v>15.680011199999997</c:v>
                </c:pt>
                <c:pt idx="31">
                  <c:v>15.306677599999997</c:v>
                </c:pt>
                <c:pt idx="32">
                  <c:v>14.933343999999996</c:v>
                </c:pt>
                <c:pt idx="33">
                  <c:v>14.560010399999996</c:v>
                </c:pt>
                <c:pt idx="34">
                  <c:v>14.186676799999995</c:v>
                </c:pt>
                <c:pt idx="35">
                  <c:v>13.813343199999995</c:v>
                </c:pt>
                <c:pt idx="36">
                  <c:v>13.440009599999994</c:v>
                </c:pt>
                <c:pt idx="37">
                  <c:v>13.066675999999994</c:v>
                </c:pt>
                <c:pt idx="38">
                  <c:v>12.693342399999993</c:v>
                </c:pt>
                <c:pt idx="39">
                  <c:v>12.320008799999995</c:v>
                </c:pt>
                <c:pt idx="40">
                  <c:v>11.946675199999994</c:v>
                </c:pt>
                <c:pt idx="41">
                  <c:v>11.573341599999994</c:v>
                </c:pt>
                <c:pt idx="42">
                  <c:v>11.200007999999993</c:v>
                </c:pt>
                <c:pt idx="43">
                  <c:v>10.266673999999993</c:v>
                </c:pt>
                <c:pt idx="44">
                  <c:v>9.3333399999999926</c:v>
                </c:pt>
                <c:pt idx="45">
                  <c:v>8.4000059999999923</c:v>
                </c:pt>
                <c:pt idx="46">
                  <c:v>7.4666719999999929</c:v>
                </c:pt>
                <c:pt idx="47">
                  <c:v>6.5333379999999934</c:v>
                </c:pt>
                <c:pt idx="48">
                  <c:v>5.6000039999999931</c:v>
                </c:pt>
                <c:pt idx="49">
                  <c:v>4.6666699999999937</c:v>
                </c:pt>
                <c:pt idx="50">
                  <c:v>3.7333359999999938</c:v>
                </c:pt>
                <c:pt idx="51">
                  <c:v>2.8000019999999943</c:v>
                </c:pt>
                <c:pt idx="52">
                  <c:v>1.866667999999994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BPkW_Si!$P$4</c:f>
              <c:strCache>
                <c:ptCount val="1"/>
                <c:pt idx="0">
                  <c:v>84Kr</c:v>
                </c:pt>
              </c:strCache>
            </c:strRef>
          </c:tx>
          <c:spPr>
            <a:ln w="19050">
              <a:solidFill>
                <a:srgbClr val="0000FF"/>
              </a:solidFill>
            </a:ln>
          </c:spPr>
          <c:marker>
            <c:symbol val="none"/>
          </c:marker>
          <c:xVal>
            <c:numRef>
              <c:f>BPkW_Si!$R$21:$R$73</c:f>
              <c:numCache>
                <c:formatCode>0.0</c:formatCode>
                <c:ptCount val="53"/>
                <c:pt idx="0">
                  <c:v>0</c:v>
                </c:pt>
                <c:pt idx="1">
                  <c:v>9.1822391102873019E-3</c:v>
                </c:pt>
                <c:pt idx="2">
                  <c:v>1.6392459598853875</c:v>
                </c:pt>
                <c:pt idx="3">
                  <c:v>3.0428330061349689</c:v>
                </c:pt>
                <c:pt idx="4">
                  <c:v>4.4517452928471606</c:v>
                </c:pt>
                <c:pt idx="5">
                  <c:v>5.8197291199999999</c:v>
                </c:pt>
                <c:pt idx="6">
                  <c:v>7.2847719823189374</c:v>
                </c:pt>
                <c:pt idx="7">
                  <c:v>9.0643936494957753</c:v>
                </c:pt>
                <c:pt idx="8">
                  <c:v>11.544113240608915</c:v>
                </c:pt>
                <c:pt idx="9">
                  <c:v>13.286777320406857</c:v>
                </c:pt>
                <c:pt idx="10">
                  <c:v>15.641318902439018</c:v>
                </c:pt>
                <c:pt idx="11">
                  <c:v>16.835572620606708</c:v>
                </c:pt>
                <c:pt idx="12">
                  <c:v>18.251960882259599</c:v>
                </c:pt>
                <c:pt idx="13">
                  <c:v>20.035098241520856</c:v>
                </c:pt>
                <c:pt idx="14">
                  <c:v>21.109911093159614</c:v>
                </c:pt>
                <c:pt idx="15">
                  <c:v>22.364501312288862</c:v>
                </c:pt>
                <c:pt idx="16">
                  <c:v>23.873363563829777</c:v>
                </c:pt>
                <c:pt idx="17">
                  <c:v>25.81</c:v>
                </c:pt>
                <c:pt idx="18">
                  <c:v>34.884883747068066</c:v>
                </c:pt>
                <c:pt idx="19">
                  <c:v>39.128296020678462</c:v>
                </c:pt>
                <c:pt idx="20">
                  <c:v>42.487026640598408</c:v>
                </c:pt>
                <c:pt idx="21">
                  <c:v>45.512578230865728</c:v>
                </c:pt>
                <c:pt idx="22">
                  <c:v>48.368572898799307</c:v>
                </c:pt>
                <c:pt idx="23">
                  <c:v>51.129023793892138</c:v>
                </c:pt>
                <c:pt idx="24">
                  <c:v>53.859558034201228</c:v>
                </c:pt>
                <c:pt idx="25">
                  <c:v>56.552031578947414</c:v>
                </c:pt>
                <c:pt idx="26">
                  <c:v>59.21679369055169</c:v>
                </c:pt>
                <c:pt idx="27">
                  <c:v>61.896856585890511</c:v>
                </c:pt>
                <c:pt idx="28">
                  <c:v>67.315805628845879</c:v>
                </c:pt>
                <c:pt idx="29">
                  <c:v>72.864960048986291</c:v>
                </c:pt>
                <c:pt idx="30">
                  <c:v>78.611087440468125</c:v>
                </c:pt>
                <c:pt idx="31">
                  <c:v>84.642282467909382</c:v>
                </c:pt>
                <c:pt idx="32">
                  <c:v>91.168148002045555</c:v>
                </c:pt>
                <c:pt idx="33">
                  <c:v>97.742138527284766</c:v>
                </c:pt>
                <c:pt idx="34">
                  <c:v>105.03206212187048</c:v>
                </c:pt>
                <c:pt idx="35">
                  <c:v>112.41915041478244</c:v>
                </c:pt>
                <c:pt idx="36">
                  <c:v>120.68865993951682</c:v>
                </c:pt>
                <c:pt idx="37">
                  <c:v>129.25948793402594</c:v>
                </c:pt>
                <c:pt idx="38">
                  <c:v>138.657423513065</c:v>
                </c:pt>
                <c:pt idx="39">
                  <c:v>148.85589995857751</c:v>
                </c:pt>
                <c:pt idx="40">
                  <c:v>159.6918914524598</c:v>
                </c:pt>
                <c:pt idx="41">
                  <c:v>171.70002903692296</c:v>
                </c:pt>
                <c:pt idx="42">
                  <c:v>184.91974056523</c:v>
                </c:pt>
                <c:pt idx="43">
                  <c:v>223.69538315069593</c:v>
                </c:pt>
                <c:pt idx="44">
                  <c:v>275.59525447390911</c:v>
                </c:pt>
                <c:pt idx="45">
                  <c:v>350.11878664496953</c:v>
                </c:pt>
                <c:pt idx="46">
                  <c:v>464.33729154424657</c:v>
                </c:pt>
                <c:pt idx="47">
                  <c:v>629.88946411365691</c:v>
                </c:pt>
                <c:pt idx="48">
                  <c:v>896.70505284637761</c:v>
                </c:pt>
                <c:pt idx="49">
                  <c:v>1366.5414242164236</c:v>
                </c:pt>
                <c:pt idx="50">
                  <c:v>2327.27706036261</c:v>
                </c:pt>
                <c:pt idx="51">
                  <c:v>4624.8088258038188</c:v>
                </c:pt>
                <c:pt idx="52">
                  <c:v>13462.107683894623</c:v>
                </c:pt>
              </c:numCache>
            </c:numRef>
          </c:xVal>
          <c:yVal>
            <c:numRef>
              <c:f>BPkW_Si!$P$21:$P$73</c:f>
              <c:numCache>
                <c:formatCode>0.00</c:formatCode>
                <c:ptCount val="53"/>
                <c:pt idx="0" formatCode="0.0">
                  <c:v>0</c:v>
                </c:pt>
                <c:pt idx="1">
                  <c:v>4.0998340000000004</c:v>
                </c:pt>
                <c:pt idx="2">
                  <c:v>8.1996680000000008</c:v>
                </c:pt>
                <c:pt idx="3">
                  <c:v>12.299501999999999</c:v>
                </c:pt>
                <c:pt idx="4">
                  <c:v>16.399336000000002</c:v>
                </c:pt>
                <c:pt idx="5">
                  <c:v>20.499169999999999</c:v>
                </c:pt>
                <c:pt idx="6">
                  <c:v>24.599003999999997</c:v>
                </c:pt>
                <c:pt idx="7">
                  <c:v>28.698837999999999</c:v>
                </c:pt>
                <c:pt idx="8">
                  <c:v>32.798672000000003</c:v>
                </c:pt>
                <c:pt idx="9">
                  <c:v>34.848588999999997</c:v>
                </c:pt>
                <c:pt idx="10">
                  <c:v>36.898505999999998</c:v>
                </c:pt>
                <c:pt idx="11">
                  <c:v>37.718472800000001</c:v>
                </c:pt>
                <c:pt idx="12">
                  <c:v>38.538439599999997</c:v>
                </c:pt>
                <c:pt idx="13">
                  <c:v>39.3584064</c:v>
                </c:pt>
                <c:pt idx="14">
                  <c:v>39.768389800000001</c:v>
                </c:pt>
                <c:pt idx="15">
                  <c:v>40.178373199999996</c:v>
                </c:pt>
                <c:pt idx="16">
                  <c:v>40.588356599999997</c:v>
                </c:pt>
                <c:pt idx="17">
                  <c:v>40.998339999999999</c:v>
                </c:pt>
                <c:pt idx="18">
                  <c:v>40.588356599999997</c:v>
                </c:pt>
                <c:pt idx="19">
                  <c:v>40.178373199999996</c:v>
                </c:pt>
                <c:pt idx="20">
                  <c:v>39.768389800000001</c:v>
                </c:pt>
                <c:pt idx="21">
                  <c:v>39.3584064</c:v>
                </c:pt>
                <c:pt idx="22">
                  <c:v>38.948422999999998</c:v>
                </c:pt>
                <c:pt idx="23">
                  <c:v>38.538439599999997</c:v>
                </c:pt>
                <c:pt idx="24">
                  <c:v>38.128456199999995</c:v>
                </c:pt>
                <c:pt idx="25">
                  <c:v>37.718472799999994</c:v>
                </c:pt>
                <c:pt idx="26">
                  <c:v>37.308489399999999</c:v>
                </c:pt>
                <c:pt idx="27">
                  <c:v>36.898505999999998</c:v>
                </c:pt>
                <c:pt idx="28">
                  <c:v>36.078539199999994</c:v>
                </c:pt>
                <c:pt idx="29">
                  <c:v>35.258572399999991</c:v>
                </c:pt>
                <c:pt idx="30">
                  <c:v>34.438605599999995</c:v>
                </c:pt>
                <c:pt idx="31">
                  <c:v>33.618638799999992</c:v>
                </c:pt>
                <c:pt idx="32">
                  <c:v>32.798671999999989</c:v>
                </c:pt>
                <c:pt idx="33">
                  <c:v>31.97870519999999</c:v>
                </c:pt>
                <c:pt idx="34">
                  <c:v>31.15873839999999</c:v>
                </c:pt>
                <c:pt idx="35">
                  <c:v>30.338771599999991</c:v>
                </c:pt>
                <c:pt idx="36">
                  <c:v>29.518804799999987</c:v>
                </c:pt>
                <c:pt idx="37">
                  <c:v>28.698837999999988</c:v>
                </c:pt>
                <c:pt idx="38">
                  <c:v>27.878871199999988</c:v>
                </c:pt>
                <c:pt idx="39">
                  <c:v>27.058904399999985</c:v>
                </c:pt>
                <c:pt idx="40">
                  <c:v>26.238937599999986</c:v>
                </c:pt>
                <c:pt idx="41">
                  <c:v>25.418970799999986</c:v>
                </c:pt>
                <c:pt idx="42">
                  <c:v>24.599003999999987</c:v>
                </c:pt>
                <c:pt idx="43">
                  <c:v>22.549086999999982</c:v>
                </c:pt>
                <c:pt idx="44">
                  <c:v>20.499169999999985</c:v>
                </c:pt>
                <c:pt idx="45">
                  <c:v>18.449252999999985</c:v>
                </c:pt>
                <c:pt idx="46">
                  <c:v>16.399335999999984</c:v>
                </c:pt>
                <c:pt idx="47">
                  <c:v>14.349418999999985</c:v>
                </c:pt>
                <c:pt idx="48">
                  <c:v>12.299501999999986</c:v>
                </c:pt>
                <c:pt idx="49">
                  <c:v>10.249584999999986</c:v>
                </c:pt>
                <c:pt idx="50">
                  <c:v>8.1996679999999866</c:v>
                </c:pt>
                <c:pt idx="51">
                  <c:v>6.1497509999999869</c:v>
                </c:pt>
                <c:pt idx="52">
                  <c:v>4.0998339999999871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BPkW_Si!$Y$4</c:f>
              <c:strCache>
                <c:ptCount val="1"/>
                <c:pt idx="0">
                  <c:v>132Xe</c:v>
                </c:pt>
              </c:strCache>
            </c:strRef>
          </c:tx>
          <c:spPr>
            <a:ln>
              <a:solidFill>
                <a:srgbClr val="008000"/>
              </a:solidFill>
            </a:ln>
          </c:spPr>
          <c:marker>
            <c:symbol val="none"/>
          </c:marker>
          <c:xVal>
            <c:numRef>
              <c:f>BPkW_Si!$AA$21:$AA$73</c:f>
              <c:numCache>
                <c:formatCode>0.0</c:formatCode>
                <c:ptCount val="53"/>
                <c:pt idx="0">
                  <c:v>0</c:v>
                </c:pt>
                <c:pt idx="1">
                  <c:v>1.6941221374045804E-2</c:v>
                </c:pt>
                <c:pt idx="2">
                  <c:v>2.1188161764705886</c:v>
                </c:pt>
                <c:pt idx="3">
                  <c:v>4.5790172684458392</c:v>
                </c:pt>
                <c:pt idx="4">
                  <c:v>6.7284564902686181</c:v>
                </c:pt>
                <c:pt idx="5">
                  <c:v>8.9280586099857935</c:v>
                </c:pt>
                <c:pt idx="6">
                  <c:v>11.451849460696826</c:v>
                </c:pt>
                <c:pt idx="7">
                  <c:v>14.477104172133297</c:v>
                </c:pt>
                <c:pt idx="8">
                  <c:v>18.222442545109217</c:v>
                </c:pt>
                <c:pt idx="9">
                  <c:v>20.503538691937543</c:v>
                </c:pt>
                <c:pt idx="10">
                  <c:v>23.272675671558424</c:v>
                </c:pt>
                <c:pt idx="11">
                  <c:v>24.548784342492933</c:v>
                </c:pt>
                <c:pt idx="12">
                  <c:v>25.974269064250642</c:v>
                </c:pt>
                <c:pt idx="13">
                  <c:v>27.647236451612873</c:v>
                </c:pt>
                <c:pt idx="14">
                  <c:v>28.933435403225801</c:v>
                </c:pt>
                <c:pt idx="15">
                  <c:v>31.382514010695175</c:v>
                </c:pt>
                <c:pt idx="16">
                  <c:v>33.706002061122987</c:v>
                </c:pt>
                <c:pt idx="17">
                  <c:v>41.54</c:v>
                </c:pt>
                <c:pt idx="18">
                  <c:v>48.882362684936133</c:v>
                </c:pt>
                <c:pt idx="19">
                  <c:v>53.06952160832482</c:v>
                </c:pt>
                <c:pt idx="20">
                  <c:v>56.594716509855786</c:v>
                </c:pt>
                <c:pt idx="21">
                  <c:v>59.997281671086995</c:v>
                </c:pt>
                <c:pt idx="22">
                  <c:v>63.160633577043235</c:v>
                </c:pt>
                <c:pt idx="23">
                  <c:v>66.283479998626959</c:v>
                </c:pt>
                <c:pt idx="24">
                  <c:v>69.363297457453768</c:v>
                </c:pt>
                <c:pt idx="25">
                  <c:v>72.429117466560228</c:v>
                </c:pt>
                <c:pt idx="26">
                  <c:v>75.528543633978373</c:v>
                </c:pt>
                <c:pt idx="27">
                  <c:v>78.653408986553004</c:v>
                </c:pt>
                <c:pt idx="28">
                  <c:v>85.069544035111079</c:v>
                </c:pt>
                <c:pt idx="29">
                  <c:v>91.767056456518077</c:v>
                </c:pt>
                <c:pt idx="30">
                  <c:v>98.835599258226438</c:v>
                </c:pt>
                <c:pt idx="31">
                  <c:v>106.30274435142485</c:v>
                </c:pt>
                <c:pt idx="32">
                  <c:v>114.24327620237931</c:v>
                </c:pt>
                <c:pt idx="33">
                  <c:v>122.79188788600099</c:v>
                </c:pt>
                <c:pt idx="34">
                  <c:v>131.93034918093676</c:v>
                </c:pt>
                <c:pt idx="35">
                  <c:v>142.04063857993194</c:v>
                </c:pt>
                <c:pt idx="36">
                  <c:v>152.61912142622108</c:v>
                </c:pt>
                <c:pt idx="37">
                  <c:v>164.45792396585449</c:v>
                </c:pt>
                <c:pt idx="38">
                  <c:v>176.92578940869819</c:v>
                </c:pt>
                <c:pt idx="39">
                  <c:v>190.72611103203482</c:v>
                </c:pt>
                <c:pt idx="40">
                  <c:v>205.93739874529516</c:v>
                </c:pt>
                <c:pt idx="41">
                  <c:v>222.21614520662854</c:v>
                </c:pt>
                <c:pt idx="42">
                  <c:v>240.55222391328022</c:v>
                </c:pt>
                <c:pt idx="43">
                  <c:v>295.07670198855277</c:v>
                </c:pt>
                <c:pt idx="44">
                  <c:v>368.52115718961664</c:v>
                </c:pt>
                <c:pt idx="45">
                  <c:v>471.56269078351551</c:v>
                </c:pt>
                <c:pt idx="46">
                  <c:v>619.45411661637434</c:v>
                </c:pt>
                <c:pt idx="47">
                  <c:v>847.30865718362691</c:v>
                </c:pt>
                <c:pt idx="48">
                  <c:v>1214.6033276247326</c:v>
                </c:pt>
                <c:pt idx="49">
                  <c:v>1867.8033464885993</c:v>
                </c:pt>
                <c:pt idx="50">
                  <c:v>3232.6864076734892</c:v>
                </c:pt>
                <c:pt idx="51">
                  <c:v>6819.4607242098909</c:v>
                </c:pt>
                <c:pt idx="52">
                  <c:v>23139.243036335869</c:v>
                </c:pt>
              </c:numCache>
            </c:numRef>
          </c:xVal>
          <c:yVal>
            <c:numRef>
              <c:f>BPkW_Si!$Y$21:$Y$73</c:f>
              <c:numCache>
                <c:formatCode>0.00</c:formatCode>
                <c:ptCount val="53"/>
                <c:pt idx="0" formatCode="0.0">
                  <c:v>0</c:v>
                </c:pt>
                <c:pt idx="1">
                  <c:v>6.9342900000000007</c:v>
                </c:pt>
                <c:pt idx="2">
                  <c:v>13.868580000000001</c:v>
                </c:pt>
                <c:pt idx="3">
                  <c:v>20.802869999999999</c:v>
                </c:pt>
                <c:pt idx="4">
                  <c:v>27.737160000000003</c:v>
                </c:pt>
                <c:pt idx="5">
                  <c:v>34.67145</c:v>
                </c:pt>
                <c:pt idx="6">
                  <c:v>41.605739999999997</c:v>
                </c:pt>
                <c:pt idx="7">
                  <c:v>48.540029999999994</c:v>
                </c:pt>
                <c:pt idx="8">
                  <c:v>55.474320000000006</c:v>
                </c:pt>
                <c:pt idx="9">
                  <c:v>58.941465000000001</c:v>
                </c:pt>
                <c:pt idx="10">
                  <c:v>62.408610000000003</c:v>
                </c:pt>
                <c:pt idx="11">
                  <c:v>63.795468</c:v>
                </c:pt>
                <c:pt idx="12">
                  <c:v>65.182326000000003</c:v>
                </c:pt>
                <c:pt idx="13">
                  <c:v>66.569183999999993</c:v>
                </c:pt>
                <c:pt idx="14">
                  <c:v>67.262613000000002</c:v>
                </c:pt>
                <c:pt idx="15">
                  <c:v>67.956041999999997</c:v>
                </c:pt>
                <c:pt idx="16">
                  <c:v>68.649471000000005</c:v>
                </c:pt>
                <c:pt idx="17">
                  <c:v>69.3429</c:v>
                </c:pt>
                <c:pt idx="18">
                  <c:v>68.649471000000005</c:v>
                </c:pt>
                <c:pt idx="19">
                  <c:v>67.956041999999997</c:v>
                </c:pt>
                <c:pt idx="20">
                  <c:v>67.262613000000002</c:v>
                </c:pt>
                <c:pt idx="21">
                  <c:v>66.569183999999993</c:v>
                </c:pt>
                <c:pt idx="22">
                  <c:v>65.875754999999998</c:v>
                </c:pt>
                <c:pt idx="23">
                  <c:v>65.182326000000003</c:v>
                </c:pt>
                <c:pt idx="24">
                  <c:v>64.488896999999994</c:v>
                </c:pt>
                <c:pt idx="25">
                  <c:v>63.795467999999993</c:v>
                </c:pt>
                <c:pt idx="26">
                  <c:v>63.102038999999998</c:v>
                </c:pt>
                <c:pt idx="27">
                  <c:v>62.408609999999996</c:v>
                </c:pt>
                <c:pt idx="28">
                  <c:v>61.021751999999992</c:v>
                </c:pt>
                <c:pt idx="29">
                  <c:v>59.634893999999989</c:v>
                </c:pt>
                <c:pt idx="30">
                  <c:v>58.248035999999992</c:v>
                </c:pt>
                <c:pt idx="31">
                  <c:v>56.861177999999988</c:v>
                </c:pt>
                <c:pt idx="32">
                  <c:v>55.474319999999985</c:v>
                </c:pt>
                <c:pt idx="33">
                  <c:v>54.087461999999988</c:v>
                </c:pt>
                <c:pt idx="34">
                  <c:v>52.700603999999984</c:v>
                </c:pt>
                <c:pt idx="35">
                  <c:v>51.313745999999988</c:v>
                </c:pt>
                <c:pt idx="36">
                  <c:v>49.926887999999984</c:v>
                </c:pt>
                <c:pt idx="37">
                  <c:v>48.54002999999998</c:v>
                </c:pt>
                <c:pt idx="38">
                  <c:v>47.153171999999984</c:v>
                </c:pt>
                <c:pt idx="39">
                  <c:v>45.76631399999998</c:v>
                </c:pt>
                <c:pt idx="40">
                  <c:v>44.379455999999976</c:v>
                </c:pt>
                <c:pt idx="41">
                  <c:v>42.99259799999998</c:v>
                </c:pt>
                <c:pt idx="42">
                  <c:v>41.605739999999976</c:v>
                </c:pt>
                <c:pt idx="43">
                  <c:v>38.138594999999974</c:v>
                </c:pt>
                <c:pt idx="44">
                  <c:v>34.671449999999972</c:v>
                </c:pt>
                <c:pt idx="45">
                  <c:v>31.204304999999973</c:v>
                </c:pt>
                <c:pt idx="46">
                  <c:v>27.737159999999975</c:v>
                </c:pt>
                <c:pt idx="47">
                  <c:v>24.270014999999976</c:v>
                </c:pt>
                <c:pt idx="48">
                  <c:v>20.802869999999977</c:v>
                </c:pt>
                <c:pt idx="49">
                  <c:v>17.335724999999975</c:v>
                </c:pt>
                <c:pt idx="50">
                  <c:v>13.868579999999978</c:v>
                </c:pt>
                <c:pt idx="51">
                  <c:v>10.401434999999978</c:v>
                </c:pt>
                <c:pt idx="52">
                  <c:v>6.9342899999999785</c:v>
                </c:pt>
              </c:numCache>
            </c:numRef>
          </c:yVal>
          <c:smooth val="0"/>
        </c:ser>
        <c:ser>
          <c:idx val="3"/>
          <c:order val="3"/>
          <c:tx>
            <c:strRef>
              <c:f>BPkW_Si!$AH$4</c:f>
              <c:strCache>
                <c:ptCount val="1"/>
                <c:pt idx="0">
                  <c:v>197Au</c:v>
                </c:pt>
              </c:strCache>
            </c:strRef>
          </c:tx>
          <c:spPr>
            <a:ln>
              <a:solidFill>
                <a:srgbClr val="7030A0"/>
              </a:solidFill>
            </a:ln>
          </c:spPr>
          <c:marker>
            <c:symbol val="none"/>
          </c:marker>
          <c:xVal>
            <c:numRef>
              <c:f>BPkW_Si!$AJ$21:$AJ$73</c:f>
              <c:numCache>
                <c:formatCode>0.0</c:formatCode>
                <c:ptCount val="53"/>
                <c:pt idx="0">
                  <c:v>0</c:v>
                </c:pt>
                <c:pt idx="1">
                  <c:v>2.073153352353781E-2</c:v>
                </c:pt>
                <c:pt idx="2">
                  <c:v>0.16885783673469418</c:v>
                </c:pt>
                <c:pt idx="3">
                  <c:v>9.0749390000000005</c:v>
                </c:pt>
                <c:pt idx="4">
                  <c:v>11.824152233009711</c:v>
                </c:pt>
                <c:pt idx="5">
                  <c:v>14.436469157769869</c:v>
                </c:pt>
                <c:pt idx="6">
                  <c:v>17.21158439497097</c:v>
                </c:pt>
                <c:pt idx="7">
                  <c:v>20.442329443752126</c:v>
                </c:pt>
                <c:pt idx="8">
                  <c:v>24.535882484376643</c:v>
                </c:pt>
                <c:pt idx="9">
                  <c:v>27.073269327467006</c:v>
                </c:pt>
                <c:pt idx="10">
                  <c:v>30.164063001993743</c:v>
                </c:pt>
                <c:pt idx="11">
                  <c:v>31.626904686005744</c:v>
                </c:pt>
                <c:pt idx="12">
                  <c:v>33.305617835723595</c:v>
                </c:pt>
                <c:pt idx="13">
                  <c:v>35.86524384940612</c:v>
                </c:pt>
                <c:pt idx="14">
                  <c:v>38.097624317617893</c:v>
                </c:pt>
                <c:pt idx="15">
                  <c:v>40.221500880304838</c:v>
                </c:pt>
                <c:pt idx="16">
                  <c:v>43.357341288872284</c:v>
                </c:pt>
                <c:pt idx="17">
                  <c:v>51.65</c:v>
                </c:pt>
                <c:pt idx="18">
                  <c:v>63.705531475028991</c:v>
                </c:pt>
                <c:pt idx="19">
                  <c:v>69.987286656630587</c:v>
                </c:pt>
                <c:pt idx="20">
                  <c:v>75.406820256410214</c:v>
                </c:pt>
                <c:pt idx="21">
                  <c:v>80.578275625704592</c:v>
                </c:pt>
                <c:pt idx="22">
                  <c:v>85.645512385628166</c:v>
                </c:pt>
                <c:pt idx="23">
                  <c:v>90.717297537272202</c:v>
                </c:pt>
                <c:pt idx="24">
                  <c:v>95.828038884419456</c:v>
                </c:pt>
                <c:pt idx="25">
                  <c:v>101.10010218811129</c:v>
                </c:pt>
                <c:pt idx="26">
                  <c:v>106.48616528074849</c:v>
                </c:pt>
                <c:pt idx="27">
                  <c:v>112.05775764933514</c:v>
                </c:pt>
                <c:pt idx="28">
                  <c:v>123.62672135002771</c:v>
                </c:pt>
                <c:pt idx="29">
                  <c:v>136.02857450927928</c:v>
                </c:pt>
                <c:pt idx="30">
                  <c:v>149.4010574417162</c:v>
                </c:pt>
                <c:pt idx="31">
                  <c:v>163.8633358635517</c:v>
                </c:pt>
                <c:pt idx="32">
                  <c:v>179.28027559220786</c:v>
                </c:pt>
                <c:pt idx="33">
                  <c:v>195.85388529843866</c:v>
                </c:pt>
                <c:pt idx="34">
                  <c:v>213.46624091883439</c:v>
                </c:pt>
                <c:pt idx="35">
                  <c:v>232.37131647277047</c:v>
                </c:pt>
                <c:pt idx="36">
                  <c:v>251.78909691416069</c:v>
                </c:pt>
                <c:pt idx="37">
                  <c:v>272.82717243303017</c:v>
                </c:pt>
                <c:pt idx="38">
                  <c:v>294.74727618042016</c:v>
                </c:pt>
                <c:pt idx="39">
                  <c:v>317.58086914779665</c:v>
                </c:pt>
                <c:pt idx="40">
                  <c:v>343.00443807025539</c:v>
                </c:pt>
                <c:pt idx="41">
                  <c:v>374.03295169481095</c:v>
                </c:pt>
                <c:pt idx="42">
                  <c:v>410.56098513904828</c:v>
                </c:pt>
                <c:pt idx="43">
                  <c:v>521.35247476990264</c:v>
                </c:pt>
                <c:pt idx="44">
                  <c:v>668.8559913327781</c:v>
                </c:pt>
                <c:pt idx="45">
                  <c:v>874.11993975231655</c:v>
                </c:pt>
                <c:pt idx="46">
                  <c:v>1177.9202643641424</c:v>
                </c:pt>
                <c:pt idx="47">
                  <c:v>1647.4645253220963</c:v>
                </c:pt>
                <c:pt idx="48">
                  <c:v>2440.4608306316104</c:v>
                </c:pt>
                <c:pt idx="49">
                  <c:v>3915.6873712128768</c:v>
                </c:pt>
                <c:pt idx="50">
                  <c:v>7298.4044182635425</c:v>
                </c:pt>
                <c:pt idx="51">
                  <c:v>18486.873108658783</c:v>
                </c:pt>
              </c:numCache>
            </c:numRef>
          </c:xVal>
          <c:yVal>
            <c:numRef>
              <c:f>BPkW_Si!$AH$21:$AH$73</c:f>
              <c:numCache>
                <c:formatCode>0.00</c:formatCode>
                <c:ptCount val="53"/>
                <c:pt idx="0" formatCode="0.0">
                  <c:v>0</c:v>
                </c:pt>
                <c:pt idx="1">
                  <c:v>9.4366200000000013</c:v>
                </c:pt>
                <c:pt idx="2">
                  <c:v>18.873240000000003</c:v>
                </c:pt>
                <c:pt idx="3">
                  <c:v>28.30986</c:v>
                </c:pt>
                <c:pt idx="4">
                  <c:v>37.746480000000005</c:v>
                </c:pt>
                <c:pt idx="5">
                  <c:v>47.183100000000003</c:v>
                </c:pt>
                <c:pt idx="6">
                  <c:v>56.619720000000001</c:v>
                </c:pt>
                <c:pt idx="7">
                  <c:v>66.056340000000006</c:v>
                </c:pt>
                <c:pt idx="8">
                  <c:v>75.492960000000011</c:v>
                </c:pt>
                <c:pt idx="9">
                  <c:v>80.211269999999999</c:v>
                </c:pt>
                <c:pt idx="10">
                  <c:v>84.929580000000001</c:v>
                </c:pt>
                <c:pt idx="11">
                  <c:v>86.816904000000008</c:v>
                </c:pt>
                <c:pt idx="12">
                  <c:v>88.704228000000001</c:v>
                </c:pt>
                <c:pt idx="13">
                  <c:v>90.591552000000007</c:v>
                </c:pt>
                <c:pt idx="14">
                  <c:v>91.535214000000011</c:v>
                </c:pt>
                <c:pt idx="15">
                  <c:v>92.478876</c:v>
                </c:pt>
                <c:pt idx="16">
                  <c:v>93.422538000000003</c:v>
                </c:pt>
                <c:pt idx="17">
                  <c:v>94.366200000000006</c:v>
                </c:pt>
                <c:pt idx="18">
                  <c:v>93.422538000000003</c:v>
                </c:pt>
                <c:pt idx="19">
                  <c:v>92.478876</c:v>
                </c:pt>
                <c:pt idx="20">
                  <c:v>91.535214000000011</c:v>
                </c:pt>
                <c:pt idx="21">
                  <c:v>90.591552000000007</c:v>
                </c:pt>
                <c:pt idx="22">
                  <c:v>89.647890000000004</c:v>
                </c:pt>
                <c:pt idx="23">
                  <c:v>88.704228000000001</c:v>
                </c:pt>
                <c:pt idx="24">
                  <c:v>87.760565999999997</c:v>
                </c:pt>
                <c:pt idx="25">
                  <c:v>86.816903999999994</c:v>
                </c:pt>
                <c:pt idx="26">
                  <c:v>85.873242000000005</c:v>
                </c:pt>
                <c:pt idx="27">
                  <c:v>84.929580000000001</c:v>
                </c:pt>
                <c:pt idx="28">
                  <c:v>83.042255999999995</c:v>
                </c:pt>
                <c:pt idx="29">
                  <c:v>81.154931999999988</c:v>
                </c:pt>
                <c:pt idx="30">
                  <c:v>79.267607999999996</c:v>
                </c:pt>
                <c:pt idx="31">
                  <c:v>77.380283999999989</c:v>
                </c:pt>
                <c:pt idx="32">
                  <c:v>75.492959999999982</c:v>
                </c:pt>
                <c:pt idx="33">
                  <c:v>73.60563599999999</c:v>
                </c:pt>
                <c:pt idx="34">
                  <c:v>71.718311999999983</c:v>
                </c:pt>
                <c:pt idx="35">
                  <c:v>69.830987999999977</c:v>
                </c:pt>
                <c:pt idx="36">
                  <c:v>67.943663999999984</c:v>
                </c:pt>
                <c:pt idx="37">
                  <c:v>66.056339999999977</c:v>
                </c:pt>
                <c:pt idx="38">
                  <c:v>64.169015999999971</c:v>
                </c:pt>
                <c:pt idx="39">
                  <c:v>62.281691999999978</c:v>
                </c:pt>
                <c:pt idx="40">
                  <c:v>60.394367999999972</c:v>
                </c:pt>
                <c:pt idx="41">
                  <c:v>58.507043999999972</c:v>
                </c:pt>
                <c:pt idx="42">
                  <c:v>56.619719999999973</c:v>
                </c:pt>
                <c:pt idx="43">
                  <c:v>51.901409999999963</c:v>
                </c:pt>
                <c:pt idx="44">
                  <c:v>47.183099999999968</c:v>
                </c:pt>
                <c:pt idx="45">
                  <c:v>42.464789999999965</c:v>
                </c:pt>
                <c:pt idx="46">
                  <c:v>37.74647999999997</c:v>
                </c:pt>
                <c:pt idx="47">
                  <c:v>33.028169999999967</c:v>
                </c:pt>
                <c:pt idx="48">
                  <c:v>28.309859999999968</c:v>
                </c:pt>
                <c:pt idx="49">
                  <c:v>23.59154999999997</c:v>
                </c:pt>
                <c:pt idx="50">
                  <c:v>18.873239999999971</c:v>
                </c:pt>
                <c:pt idx="51">
                  <c:v>14.154929999999972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4127936"/>
        <c:axId val="454121664"/>
      </c:scatterChart>
      <c:valAx>
        <c:axId val="454127936"/>
        <c:scaling>
          <c:orientation val="maxMin"/>
          <c:max val="200"/>
          <c:min val="0"/>
        </c:scaling>
        <c:delete val="0"/>
        <c:axPos val="b"/>
        <c:majorGridlines>
          <c:spPr>
            <a:ln>
              <a:solidFill>
                <a:schemeClr val="tx2">
                  <a:lumMod val="40000"/>
                  <a:lumOff val="60000"/>
                </a:schemeClr>
              </a:solidFill>
              <a:prstDash val="dash"/>
            </a:ln>
          </c:spPr>
        </c:majorGridlines>
        <c:title>
          <c:tx>
            <c:strRef>
              <c:f>BPkW_Si!$C$85</c:f>
              <c:strCache>
                <c:ptCount val="1"/>
                <c:pt idx="0">
                  <c:v>Thick [μm] Si</c:v>
                </c:pt>
              </c:strCache>
            </c:strRef>
          </c:tx>
          <c:layout>
            <c:manualLayout>
              <c:xMode val="edge"/>
              <c:yMode val="edge"/>
              <c:x val="0.31607449668434817"/>
              <c:y val="0.94807428632866642"/>
            </c:manualLayout>
          </c:layout>
          <c:overlay val="0"/>
          <c:spPr>
            <a:solidFill>
              <a:schemeClr val="bg1"/>
            </a:solidFill>
          </c:spPr>
          <c:txPr>
            <a:bodyPr/>
            <a:lstStyle/>
            <a:p>
              <a:pPr>
                <a:defRPr sz="1200">
                  <a:solidFill>
                    <a:schemeClr val="tx1"/>
                  </a:solidFill>
                </a:defRPr>
              </a:pPr>
              <a:endParaRPr lang="ja-JP"/>
            </a:p>
          </c:txPr>
        </c:title>
        <c:numFmt formatCode="0_ " sourceLinked="0"/>
        <c:majorTickMark val="cross"/>
        <c:minorTickMark val="out"/>
        <c:tickLblPos val="nextTo"/>
        <c:txPr>
          <a:bodyPr/>
          <a:lstStyle/>
          <a:p>
            <a:pPr>
              <a:defRPr sz="1100">
                <a:latin typeface="+mn-ea"/>
                <a:ea typeface="+mn-ea"/>
              </a:defRPr>
            </a:pPr>
            <a:endParaRPr lang="ja-JP"/>
          </a:p>
        </c:txPr>
        <c:crossAx val="454121664"/>
        <c:crosses val="autoZero"/>
        <c:crossBetween val="midCat"/>
      </c:valAx>
      <c:valAx>
        <c:axId val="454121664"/>
        <c:scaling>
          <c:orientation val="minMax"/>
        </c:scaling>
        <c:delete val="0"/>
        <c:axPos val="r"/>
        <c:majorGridlines>
          <c:spPr>
            <a:ln>
              <a:solidFill>
                <a:schemeClr val="tx2">
                  <a:lumMod val="40000"/>
                  <a:lumOff val="60000"/>
                </a:schemeClr>
              </a:solidFill>
              <a:prstDash val="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altLang="en-US" sz="1200"/>
                  <a:t>LETt </a:t>
                </a:r>
                <a:r>
                  <a:rPr lang="en-US" altLang="en-US" sz="1200">
                    <a:solidFill>
                      <a:srgbClr val="FF0000"/>
                    </a:solidFill>
                  </a:rPr>
                  <a:t>in Si </a:t>
                </a:r>
                <a:r>
                  <a:rPr lang="en-US" altLang="en-US" sz="1200" b="0">
                    <a:solidFill>
                      <a:schemeClr val="tx1"/>
                    </a:solidFill>
                  </a:rPr>
                  <a:t>[MeV/(mg/cm2)]</a:t>
                </a:r>
              </a:p>
            </c:rich>
          </c:tx>
          <c:layout>
            <c:manualLayout>
              <c:xMode val="edge"/>
              <c:yMode val="edge"/>
              <c:x val="0.93902832370385148"/>
              <c:y val="0.35262365552470604"/>
            </c:manualLayout>
          </c:layout>
          <c:overlay val="0"/>
        </c:title>
        <c:numFmt formatCode="0_ " sourceLinked="0"/>
        <c:majorTickMark val="cross"/>
        <c:minorTickMark val="out"/>
        <c:tickLblPos val="nextTo"/>
        <c:txPr>
          <a:bodyPr/>
          <a:lstStyle/>
          <a:p>
            <a:pPr>
              <a:defRPr sz="1100"/>
            </a:pPr>
            <a:endParaRPr lang="ja-JP"/>
          </a:p>
        </c:txPr>
        <c:crossAx val="454127936"/>
        <c:crossesAt val="-100"/>
        <c:crossBetween val="midCat"/>
      </c:valAx>
    </c:plotArea>
    <c:legend>
      <c:legendPos val="r"/>
      <c:layout>
        <c:manualLayout>
          <c:xMode val="edge"/>
          <c:yMode val="edge"/>
          <c:x val="9.2787862138917654E-2"/>
          <c:y val="0.30058279224284173"/>
          <c:w val="0.22996875"/>
          <c:h val="0.15542407407407408"/>
        </c:manualLayout>
      </c:layout>
      <c:overlay val="0"/>
      <c:spPr>
        <a:solidFill>
          <a:schemeClr val="bg1"/>
        </a:solidFill>
      </c:sp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50">
          <a:latin typeface="+mn-ea"/>
          <a:ea typeface="+mn-ea"/>
        </a:defRPr>
      </a:pPr>
      <a:endParaRPr lang="ja-JP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BPkW_Air!$C$79</c:f>
          <c:strCache>
            <c:ptCount val="1"/>
            <c:pt idx="0">
              <c:v>LETt wid. in Air</c:v>
            </c:pt>
          </c:strCache>
        </c:strRef>
      </c:tx>
      <c:layout>
        <c:manualLayout>
          <c:xMode val="edge"/>
          <c:yMode val="edge"/>
          <c:x val="8.1624923689036274E-2"/>
          <c:y val="5.8113042459892281E-2"/>
        </c:manualLayout>
      </c:layout>
      <c:overlay val="0"/>
      <c:txPr>
        <a:bodyPr/>
        <a:lstStyle/>
        <a:p>
          <a:pPr>
            <a:defRPr sz="1400">
              <a:latin typeface="+mn-ea"/>
              <a:ea typeface="+mn-ea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6.1844212962962962E-2"/>
          <c:y val="5.4289891946211082E-2"/>
          <c:w val="0.8070842592592592"/>
          <c:h val="0.84191597222222236"/>
        </c:manualLayout>
      </c:layout>
      <c:scatterChart>
        <c:scatterStyle val="smoothMarker"/>
        <c:varyColors val="0"/>
        <c:ser>
          <c:idx val="0"/>
          <c:order val="0"/>
          <c:tx>
            <c:strRef>
              <c:f>BPkW_Air!$G$4</c:f>
              <c:strCache>
                <c:ptCount val="1"/>
                <c:pt idx="0">
                  <c:v>40Ar</c:v>
                </c:pt>
              </c:strCache>
            </c:strRef>
          </c:tx>
          <c:spPr>
            <a:ln w="19050">
              <a:solidFill>
                <a:srgbClr val="FF0000"/>
              </a:solidFill>
            </a:ln>
          </c:spPr>
          <c:marker>
            <c:symbol val="circle"/>
            <c:size val="3"/>
            <c:spPr>
              <a:noFill/>
              <a:ln>
                <a:solidFill>
                  <a:srgbClr val="FF0000"/>
                </a:solidFill>
              </a:ln>
            </c:spPr>
          </c:marker>
          <c:xVal>
            <c:numRef>
              <c:f>BPkW_Air!$J$21:$J$73</c:f>
              <c:numCache>
                <c:formatCode>0.0</c:formatCode>
                <c:ptCount val="53"/>
                <c:pt idx="0">
                  <c:v>0</c:v>
                </c:pt>
                <c:pt idx="1">
                  <c:v>7.2920591588318592E-3</c:v>
                </c:pt>
                <c:pt idx="2">
                  <c:v>1.5690773953078005</c:v>
                </c:pt>
                <c:pt idx="3">
                  <c:v>3.9788848620165136</c:v>
                </c:pt>
                <c:pt idx="4">
                  <c:v>5.4087107707779936</c:v>
                </c:pt>
                <c:pt idx="5">
                  <c:v>6.4485476364745864</c:v>
                </c:pt>
                <c:pt idx="6">
                  <c:v>7.3227335299448866</c:v>
                </c:pt>
                <c:pt idx="7">
                  <c:v>8.1961998242408267</c:v>
                </c:pt>
                <c:pt idx="8">
                  <c:v>9.1752106441489456</c:v>
                </c:pt>
                <c:pt idx="9">
                  <c:v>9.777321666118036</c:v>
                </c:pt>
                <c:pt idx="10">
                  <c:v>10.539519772838647</c:v>
                </c:pt>
                <c:pt idx="11">
                  <c:v>10.925494042990149</c:v>
                </c:pt>
                <c:pt idx="12">
                  <c:v>11.388427886758096</c:v>
                </c:pt>
                <c:pt idx="13">
                  <c:v>11.988721710212012</c:v>
                </c:pt>
                <c:pt idx="14">
                  <c:v>12.372544933130301</c:v>
                </c:pt>
                <c:pt idx="15">
                  <c:v>12.871847319980112</c:v>
                </c:pt>
                <c:pt idx="16">
                  <c:v>13.519539956190657</c:v>
                </c:pt>
                <c:pt idx="17">
                  <c:v>15.086664524830621</c:v>
                </c:pt>
                <c:pt idx="18">
                  <c:v>17.875731420570347</c:v>
                </c:pt>
                <c:pt idx="19">
                  <c:v>19.117036328816887</c:v>
                </c:pt>
                <c:pt idx="20">
                  <c:v>20.168378731795553</c:v>
                </c:pt>
                <c:pt idx="21">
                  <c:v>21.180762899538436</c:v>
                </c:pt>
                <c:pt idx="22">
                  <c:v>22.115516701259555</c:v>
                </c:pt>
                <c:pt idx="23">
                  <c:v>23.051019870472768</c:v>
                </c:pt>
                <c:pt idx="24">
                  <c:v>23.98866526623064</c:v>
                </c:pt>
                <c:pt idx="25">
                  <c:v>24.933778821675336</c:v>
                </c:pt>
                <c:pt idx="26">
                  <c:v>25.89346876870141</c:v>
                </c:pt>
                <c:pt idx="27">
                  <c:v>26.860113256563594</c:v>
                </c:pt>
                <c:pt idx="28">
                  <c:v>28.848068032938212</c:v>
                </c:pt>
                <c:pt idx="29">
                  <c:v>31.003531174874855</c:v>
                </c:pt>
                <c:pt idx="30">
                  <c:v>33.282942211054504</c:v>
                </c:pt>
                <c:pt idx="31">
                  <c:v>36.309480566242492</c:v>
                </c:pt>
                <c:pt idx="32">
                  <c:v>39.621463488240131</c:v>
                </c:pt>
                <c:pt idx="33">
                  <c:v>42.687546090981648</c:v>
                </c:pt>
                <c:pt idx="34">
                  <c:v>46.526636138904607</c:v>
                </c:pt>
                <c:pt idx="35">
                  <c:v>50.807584422928329</c:v>
                </c:pt>
                <c:pt idx="36">
                  <c:v>55.657676960250789</c:v>
                </c:pt>
                <c:pt idx="37">
                  <c:v>61.049565392334657</c:v>
                </c:pt>
                <c:pt idx="38">
                  <c:v>67.134510171486724</c:v>
                </c:pt>
                <c:pt idx="39">
                  <c:v>73.933481171274536</c:v>
                </c:pt>
                <c:pt idx="40">
                  <c:v>81.682193676625587</c:v>
                </c:pt>
                <c:pt idx="41">
                  <c:v>90.184624725413329</c:v>
                </c:pt>
                <c:pt idx="42">
                  <c:v>99.956726574578468</c:v>
                </c:pt>
                <c:pt idx="43">
                  <c:v>128.8043480203938</c:v>
                </c:pt>
                <c:pt idx="44" formatCode="0">
                  <c:v>165.90912181238284</c:v>
                </c:pt>
                <c:pt idx="45" formatCode="0">
                  <c:v>215.1807272821269</c:v>
                </c:pt>
                <c:pt idx="46" formatCode="0">
                  <c:v>281.75551091719723</c:v>
                </c:pt>
                <c:pt idx="47" formatCode="0">
                  <c:v>374.20516476773923</c:v>
                </c:pt>
                <c:pt idx="48" formatCode="0">
                  <c:v>516.05775521183978</c:v>
                </c:pt>
                <c:pt idx="49" formatCode="0">
                  <c:v>765.3416220530363</c:v>
                </c:pt>
                <c:pt idx="50" formatCode="0">
                  <c:v>1349.5370561034883</c:v>
                </c:pt>
                <c:pt idx="51" formatCode="0">
                  <c:v>2580.9331584389402</c:v>
                </c:pt>
                <c:pt idx="52" formatCode="0">
                  <c:v>6310.0067556530521</c:v>
                </c:pt>
              </c:numCache>
            </c:numRef>
          </c:xVal>
          <c:yVal>
            <c:numRef>
              <c:f>BPkW_Air!$G$21:$G$73</c:f>
              <c:numCache>
                <c:formatCode>0.00</c:formatCode>
                <c:ptCount val="53"/>
                <c:pt idx="0" formatCode="0.0">
                  <c:v>0</c:v>
                </c:pt>
                <c:pt idx="1">
                  <c:v>2.5138280000000002</c:v>
                </c:pt>
                <c:pt idx="2">
                  <c:v>5.0276560000000003</c:v>
                </c:pt>
                <c:pt idx="3">
                  <c:v>7.5414839999999987</c:v>
                </c:pt>
                <c:pt idx="4">
                  <c:v>10.055312000000001</c:v>
                </c:pt>
                <c:pt idx="5">
                  <c:v>12.569139999999999</c:v>
                </c:pt>
                <c:pt idx="6">
                  <c:v>15.082967999999997</c:v>
                </c:pt>
                <c:pt idx="7">
                  <c:v>17.596795999999998</c:v>
                </c:pt>
                <c:pt idx="8">
                  <c:v>20.110624000000001</c:v>
                </c:pt>
                <c:pt idx="9">
                  <c:v>21.367537999999996</c:v>
                </c:pt>
                <c:pt idx="10">
                  <c:v>22.624451999999998</c:v>
                </c:pt>
                <c:pt idx="11">
                  <c:v>23.127217599999998</c:v>
                </c:pt>
                <c:pt idx="12">
                  <c:v>23.629983199999998</c:v>
                </c:pt>
                <c:pt idx="13">
                  <c:v>24.132748799999998</c:v>
                </c:pt>
                <c:pt idx="14">
                  <c:v>24.384131599999996</c:v>
                </c:pt>
                <c:pt idx="15">
                  <c:v>24.635514399999998</c:v>
                </c:pt>
                <c:pt idx="16">
                  <c:v>24.886897199999996</c:v>
                </c:pt>
                <c:pt idx="17">
                  <c:v>25.138279999999998</c:v>
                </c:pt>
                <c:pt idx="18">
                  <c:v>24.886897199999996</c:v>
                </c:pt>
                <c:pt idx="19">
                  <c:v>24.635514399999998</c:v>
                </c:pt>
                <c:pt idx="20">
                  <c:v>24.384131599999996</c:v>
                </c:pt>
                <c:pt idx="21">
                  <c:v>24.132748799999998</c:v>
                </c:pt>
                <c:pt idx="22">
                  <c:v>23.881365999999996</c:v>
                </c:pt>
                <c:pt idx="23">
                  <c:v>23.629983199999998</c:v>
                </c:pt>
                <c:pt idx="24">
                  <c:v>23.378600399999996</c:v>
                </c:pt>
                <c:pt idx="25">
                  <c:v>23.127217599999998</c:v>
                </c:pt>
                <c:pt idx="26">
                  <c:v>22.875834799999996</c:v>
                </c:pt>
                <c:pt idx="27">
                  <c:v>22.624451999999994</c:v>
                </c:pt>
                <c:pt idx="28">
                  <c:v>22.121686399999994</c:v>
                </c:pt>
                <c:pt idx="29">
                  <c:v>21.618920799999994</c:v>
                </c:pt>
                <c:pt idx="30">
                  <c:v>21.116155199999994</c:v>
                </c:pt>
                <c:pt idx="31">
                  <c:v>20.613389599999994</c:v>
                </c:pt>
                <c:pt idx="32">
                  <c:v>20.110623999999994</c:v>
                </c:pt>
                <c:pt idx="33">
                  <c:v>19.607858399999994</c:v>
                </c:pt>
                <c:pt idx="34">
                  <c:v>19.105092799999994</c:v>
                </c:pt>
                <c:pt idx="35">
                  <c:v>18.602327199999994</c:v>
                </c:pt>
                <c:pt idx="36">
                  <c:v>18.099561599999994</c:v>
                </c:pt>
                <c:pt idx="37">
                  <c:v>17.596795999999991</c:v>
                </c:pt>
                <c:pt idx="38">
                  <c:v>17.094030399999991</c:v>
                </c:pt>
                <c:pt idx="39">
                  <c:v>16.59126479999999</c:v>
                </c:pt>
                <c:pt idx="40">
                  <c:v>16.08849919999999</c:v>
                </c:pt>
                <c:pt idx="41">
                  <c:v>15.58573359999999</c:v>
                </c:pt>
                <c:pt idx="42">
                  <c:v>15.08296799999999</c:v>
                </c:pt>
                <c:pt idx="43">
                  <c:v>13.826053999999989</c:v>
                </c:pt>
                <c:pt idx="44">
                  <c:v>12.56913999999999</c:v>
                </c:pt>
                <c:pt idx="45">
                  <c:v>11.31222599999999</c:v>
                </c:pt>
                <c:pt idx="46">
                  <c:v>10.05531199999999</c:v>
                </c:pt>
                <c:pt idx="47">
                  <c:v>8.7983979999999899</c:v>
                </c:pt>
                <c:pt idx="48">
                  <c:v>7.5414839999999908</c:v>
                </c:pt>
                <c:pt idx="49">
                  <c:v>6.2845699999999916</c:v>
                </c:pt>
                <c:pt idx="50">
                  <c:v>5.0276559999999915</c:v>
                </c:pt>
                <c:pt idx="51">
                  <c:v>3.7707419999999918</c:v>
                </c:pt>
                <c:pt idx="52">
                  <c:v>2.5138279999999917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BPkW_Air!$Q$4</c:f>
              <c:strCache>
                <c:ptCount val="1"/>
                <c:pt idx="0">
                  <c:v>84Kr</c:v>
                </c:pt>
              </c:strCache>
            </c:strRef>
          </c:tx>
          <c:spPr>
            <a:ln w="19050">
              <a:solidFill>
                <a:srgbClr val="0000FF"/>
              </a:solidFill>
            </a:ln>
          </c:spPr>
          <c:marker>
            <c:symbol val="none"/>
          </c:marker>
          <c:xVal>
            <c:numRef>
              <c:f>BPkW_Air!$T$21:$T$73</c:f>
              <c:numCache>
                <c:formatCode>0.0</c:formatCode>
                <c:ptCount val="53"/>
                <c:pt idx="0">
                  <c:v>0</c:v>
                </c:pt>
                <c:pt idx="1">
                  <c:v>1.3735984188680684E-2</c:v>
                </c:pt>
                <c:pt idx="2">
                  <c:v>4.7681196091941525</c:v>
                </c:pt>
                <c:pt idx="3">
                  <c:v>7.6068338712630288</c:v>
                </c:pt>
                <c:pt idx="4">
                  <c:v>9.3448381673649461</c:v>
                </c:pt>
                <c:pt idx="5">
                  <c:v>10.714757727776007</c:v>
                </c:pt>
                <c:pt idx="6">
                  <c:v>11.975008232947349</c:v>
                </c:pt>
                <c:pt idx="7">
                  <c:v>13.312662364547307</c:v>
                </c:pt>
                <c:pt idx="8">
                  <c:v>14.972818841898331</c:v>
                </c:pt>
                <c:pt idx="9">
                  <c:v>16.051212721579311</c:v>
                </c:pt>
                <c:pt idx="10">
                  <c:v>17.493600262704184</c:v>
                </c:pt>
                <c:pt idx="11">
                  <c:v>18.241867199889832</c:v>
                </c:pt>
                <c:pt idx="12">
                  <c:v>19.139471021105102</c:v>
                </c:pt>
                <c:pt idx="13">
                  <c:v>20.295824138228458</c:v>
                </c:pt>
                <c:pt idx="14">
                  <c:v>21.055736023141769</c:v>
                </c:pt>
                <c:pt idx="15">
                  <c:v>22.003712155859578</c:v>
                </c:pt>
                <c:pt idx="16">
                  <c:v>23.471837801815319</c:v>
                </c:pt>
                <c:pt idx="17">
                  <c:v>27.457119050922348</c:v>
                </c:pt>
                <c:pt idx="18">
                  <c:v>33.429228907769179</c:v>
                </c:pt>
                <c:pt idx="19">
                  <c:v>36.902950925293709</c:v>
                </c:pt>
                <c:pt idx="20">
                  <c:v>42.750918945497183</c:v>
                </c:pt>
                <c:pt idx="21">
                  <c:v>47.197815945400876</c:v>
                </c:pt>
                <c:pt idx="22">
                  <c:v>52.659828889081993</c:v>
                </c:pt>
                <c:pt idx="23">
                  <c:v>58.569311663379786</c:v>
                </c:pt>
                <c:pt idx="24">
                  <c:v>64.734709233655863</c:v>
                </c:pt>
                <c:pt idx="25">
                  <c:v>70.849166255400419</c:v>
                </c:pt>
                <c:pt idx="26">
                  <c:v>77.029714746493966</c:v>
                </c:pt>
                <c:pt idx="27">
                  <c:v>83.002680010839086</c:v>
                </c:pt>
                <c:pt idx="28">
                  <c:v>94.699539685982899</c:v>
                </c:pt>
                <c:pt idx="29">
                  <c:v>106.08552607711789</c:v>
                </c:pt>
                <c:pt idx="30">
                  <c:v>117.36009179620864</c:v>
                </c:pt>
                <c:pt idx="31">
                  <c:v>128.57057467484609</c:v>
                </c:pt>
                <c:pt idx="32">
                  <c:v>139.81059348848396</c:v>
                </c:pt>
                <c:pt idx="33">
                  <c:v>151.37615130245135</c:v>
                </c:pt>
                <c:pt idx="34">
                  <c:v>163.10733771783683</c:v>
                </c:pt>
                <c:pt idx="35">
                  <c:v>175.45620390803541</c:v>
                </c:pt>
                <c:pt idx="36">
                  <c:v>188.07176998572189</c:v>
                </c:pt>
                <c:pt idx="37">
                  <c:v>201.60871808821855</c:v>
                </c:pt>
                <c:pt idx="38">
                  <c:v>215.3556260570779</c:v>
                </c:pt>
                <c:pt idx="39">
                  <c:v>230.60932172640082</c:v>
                </c:pt>
                <c:pt idx="40">
                  <c:v>246.38407920749754</c:v>
                </c:pt>
                <c:pt idx="41">
                  <c:v>263.47168996365878</c:v>
                </c:pt>
                <c:pt idx="42">
                  <c:v>282.13494813583372</c:v>
                </c:pt>
                <c:pt idx="43">
                  <c:v>336.4576221760139</c:v>
                </c:pt>
                <c:pt idx="44">
                  <c:v>407.86876212569496</c:v>
                </c:pt>
                <c:pt idx="45">
                  <c:v>512.40356201145858</c:v>
                </c:pt>
                <c:pt idx="46">
                  <c:v>694.31944814366693</c:v>
                </c:pt>
                <c:pt idx="47">
                  <c:v>963.5412826313476</c:v>
                </c:pt>
                <c:pt idx="48">
                  <c:v>1362.3546332047301</c:v>
                </c:pt>
                <c:pt idx="49">
                  <c:v>2060.6734504539113</c:v>
                </c:pt>
                <c:pt idx="50">
                  <c:v>#N/A</c:v>
                </c:pt>
                <c:pt idx="51">
                  <c:v>#N/A</c:v>
                </c:pt>
                <c:pt idx="52">
                  <c:v>#N/A</c:v>
                </c:pt>
              </c:numCache>
            </c:numRef>
          </c:xVal>
          <c:yVal>
            <c:numRef>
              <c:f>BPkW_Air!$Q$21:$Q$73</c:f>
              <c:numCache>
                <c:formatCode>0.00</c:formatCode>
                <c:ptCount val="53"/>
                <c:pt idx="0" formatCode="0.0">
                  <c:v>0</c:v>
                </c:pt>
                <c:pt idx="1">
                  <c:v>4.8532800000000007</c:v>
                </c:pt>
                <c:pt idx="2">
                  <c:v>9.7065600000000014</c:v>
                </c:pt>
                <c:pt idx="3">
                  <c:v>14.559839999999999</c:v>
                </c:pt>
                <c:pt idx="4">
                  <c:v>19.413120000000003</c:v>
                </c:pt>
                <c:pt idx="5">
                  <c:v>24.266400000000001</c:v>
                </c:pt>
                <c:pt idx="6">
                  <c:v>29.119679999999999</c:v>
                </c:pt>
                <c:pt idx="7">
                  <c:v>33.97296</c:v>
                </c:pt>
                <c:pt idx="8">
                  <c:v>38.826240000000006</c:v>
                </c:pt>
                <c:pt idx="9">
                  <c:v>41.252879999999998</c:v>
                </c:pt>
                <c:pt idx="10">
                  <c:v>43.679520000000004</c:v>
                </c:pt>
                <c:pt idx="11">
                  <c:v>44.650176000000002</c:v>
                </c:pt>
                <c:pt idx="12">
                  <c:v>45.620832</c:v>
                </c:pt>
                <c:pt idx="13">
                  <c:v>46.591487999999998</c:v>
                </c:pt>
                <c:pt idx="14">
                  <c:v>47.076816000000001</c:v>
                </c:pt>
                <c:pt idx="15">
                  <c:v>47.562144000000004</c:v>
                </c:pt>
                <c:pt idx="16">
                  <c:v>48.047471999999999</c:v>
                </c:pt>
                <c:pt idx="17">
                  <c:v>48.532800000000002</c:v>
                </c:pt>
                <c:pt idx="18">
                  <c:v>48.047471999999999</c:v>
                </c:pt>
                <c:pt idx="19">
                  <c:v>47.562144000000004</c:v>
                </c:pt>
                <c:pt idx="20">
                  <c:v>47.076816000000001</c:v>
                </c:pt>
                <c:pt idx="21">
                  <c:v>46.591487999999998</c:v>
                </c:pt>
                <c:pt idx="22">
                  <c:v>46.106160000000003</c:v>
                </c:pt>
                <c:pt idx="23">
                  <c:v>45.620832</c:v>
                </c:pt>
                <c:pt idx="24">
                  <c:v>45.135503999999997</c:v>
                </c:pt>
                <c:pt idx="25">
                  <c:v>44.650175999999995</c:v>
                </c:pt>
                <c:pt idx="26">
                  <c:v>44.164847999999999</c:v>
                </c:pt>
                <c:pt idx="27">
                  <c:v>43.679519999999997</c:v>
                </c:pt>
                <c:pt idx="28">
                  <c:v>42.708863999999998</c:v>
                </c:pt>
                <c:pt idx="29">
                  <c:v>41.738207999999993</c:v>
                </c:pt>
                <c:pt idx="30">
                  <c:v>40.767551999999995</c:v>
                </c:pt>
                <c:pt idx="31">
                  <c:v>39.796895999999997</c:v>
                </c:pt>
                <c:pt idx="32">
                  <c:v>38.826239999999991</c:v>
                </c:pt>
                <c:pt idx="33">
                  <c:v>37.855583999999993</c:v>
                </c:pt>
                <c:pt idx="34">
                  <c:v>36.884927999999988</c:v>
                </c:pt>
                <c:pt idx="35">
                  <c:v>35.91427199999999</c:v>
                </c:pt>
                <c:pt idx="36">
                  <c:v>34.943615999999992</c:v>
                </c:pt>
                <c:pt idx="37">
                  <c:v>33.972959999999986</c:v>
                </c:pt>
                <c:pt idx="38">
                  <c:v>33.002303999999988</c:v>
                </c:pt>
                <c:pt idx="39">
                  <c:v>32.03164799999999</c:v>
                </c:pt>
                <c:pt idx="40">
                  <c:v>31.060991999999985</c:v>
                </c:pt>
                <c:pt idx="41">
                  <c:v>30.090335999999986</c:v>
                </c:pt>
                <c:pt idx="42">
                  <c:v>29.119679999999985</c:v>
                </c:pt>
                <c:pt idx="43">
                  <c:v>26.693039999999982</c:v>
                </c:pt>
                <c:pt idx="44">
                  <c:v>24.266399999999983</c:v>
                </c:pt>
                <c:pt idx="45">
                  <c:v>21.839759999999984</c:v>
                </c:pt>
                <c:pt idx="46">
                  <c:v>19.413119999999982</c:v>
                </c:pt>
                <c:pt idx="47">
                  <c:v>16.986479999999982</c:v>
                </c:pt>
                <c:pt idx="48">
                  <c:v>14.559839999999983</c:v>
                </c:pt>
                <c:pt idx="49">
                  <c:v>12.133199999999984</c:v>
                </c:pt>
                <c:pt idx="50">
                  <c:v>9.7065599999999854</c:v>
                </c:pt>
                <c:pt idx="51">
                  <c:v>7.2799199999999855</c:v>
                </c:pt>
                <c:pt idx="52">
                  <c:v>4.8532799999999847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BPkW_Air!$AA$4</c:f>
              <c:strCache>
                <c:ptCount val="1"/>
                <c:pt idx="0">
                  <c:v>132Xe</c:v>
                </c:pt>
              </c:strCache>
            </c:strRef>
          </c:tx>
          <c:spPr>
            <a:ln>
              <a:solidFill>
                <a:srgbClr val="008000"/>
              </a:solidFill>
            </a:ln>
          </c:spPr>
          <c:marker>
            <c:symbol val="none"/>
          </c:marker>
          <c:xVal>
            <c:numRef>
              <c:f>BPkW_Air!$AD$21:$AD$73</c:f>
              <c:numCache>
                <c:formatCode>0.0</c:formatCode>
                <c:ptCount val="53"/>
                <c:pt idx="0">
                  <c:v>0</c:v>
                </c:pt>
                <c:pt idx="1">
                  <c:v>2.5903875046855197E-2</c:v>
                </c:pt>
                <c:pt idx="2">
                  <c:v>6.2050009255609941</c:v>
                </c:pt>
                <c:pt idx="3">
                  <c:v>9.5646048570628697</c:v>
                </c:pt>
                <c:pt idx="4">
                  <c:v>11.676109678753853</c:v>
                </c:pt>
                <c:pt idx="5">
                  <c:v>13.513534398346449</c:v>
                </c:pt>
                <c:pt idx="6">
                  <c:v>15.443450931184396</c:v>
                </c:pt>
                <c:pt idx="7">
                  <c:v>17.794870635676268</c:v>
                </c:pt>
                <c:pt idx="8">
                  <c:v>21.112884165551829</c:v>
                </c:pt>
                <c:pt idx="9">
                  <c:v>23.459567652571302</c:v>
                </c:pt>
                <c:pt idx="10">
                  <c:v>26.786610544481512</c:v>
                </c:pt>
                <c:pt idx="11">
                  <c:v>28.632876187144827</c:v>
                </c:pt>
                <c:pt idx="12">
                  <c:v>31.1097755293126</c:v>
                </c:pt>
                <c:pt idx="13">
                  <c:v>35.009594637739895</c:v>
                </c:pt>
                <c:pt idx="14">
                  <c:v>38.192953547253673</c:v>
                </c:pt>
                <c:pt idx="15">
                  <c:v>42.615647789876384</c:v>
                </c:pt>
                <c:pt idx="16">
                  <c:v>46.320152964606912</c:v>
                </c:pt>
                <c:pt idx="17">
                  <c:v>63.022175813436071</c:v>
                </c:pt>
                <c:pt idx="18">
                  <c:v>83.717693435621385</c:v>
                </c:pt>
                <c:pt idx="19">
                  <c:v>92.73762031980101</c:v>
                </c:pt>
                <c:pt idx="20">
                  <c:v>100.40800253993037</c:v>
                </c:pt>
                <c:pt idx="21">
                  <c:v>107.12078914176237</c:v>
                </c:pt>
                <c:pt idx="22">
                  <c:v>113.59791144536148</c:v>
                </c:pt>
                <c:pt idx="23">
                  <c:v>119.55313387059437</c:v>
                </c:pt>
                <c:pt idx="24">
                  <c:v>125.45275918391737</c:v>
                </c:pt>
                <c:pt idx="25">
                  <c:v>131.16384787696654</c:v>
                </c:pt>
                <c:pt idx="26">
                  <c:v>136.86151333107034</c:v>
                </c:pt>
                <c:pt idx="27">
                  <c:v>142.49297094836479</c:v>
                </c:pt>
                <c:pt idx="28">
                  <c:v>153.76545511646208</c:v>
                </c:pt>
                <c:pt idx="29">
                  <c:v>165.13784724590647</c:v>
                </c:pt>
                <c:pt idx="30">
                  <c:v>176.77922170616674</c:v>
                </c:pt>
                <c:pt idx="31">
                  <c:v>188.8521441275947</c:v>
                </c:pt>
                <c:pt idx="32">
                  <c:v>201.44818702735162</c:v>
                </c:pt>
                <c:pt idx="33">
                  <c:v>214.67867234081996</c:v>
                </c:pt>
                <c:pt idx="34">
                  <c:v>228.75885277933656</c:v>
                </c:pt>
                <c:pt idx="35">
                  <c:v>244.05332775139789</c:v>
                </c:pt>
                <c:pt idx="36">
                  <c:v>259.89314629381352</c:v>
                </c:pt>
                <c:pt idx="37">
                  <c:v>277.72156804942779</c:v>
                </c:pt>
                <c:pt idx="38">
                  <c:v>295.73550953293619</c:v>
                </c:pt>
                <c:pt idx="39">
                  <c:v>317.20926903933815</c:v>
                </c:pt>
                <c:pt idx="40">
                  <c:v>339.33672832499104</c:v>
                </c:pt>
                <c:pt idx="41">
                  <c:v>365.36278511805779</c:v>
                </c:pt>
                <c:pt idx="42">
                  <c:v>394.15833353521691</c:v>
                </c:pt>
                <c:pt idx="43">
                  <c:v>487.72938046607163</c:v>
                </c:pt>
                <c:pt idx="44">
                  <c:v>635.75330474275597</c:v>
                </c:pt>
                <c:pt idx="45">
                  <c:v>809.74050367103996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  <c:pt idx="52">
                  <c:v>#N/A</c:v>
                </c:pt>
              </c:numCache>
            </c:numRef>
          </c:xVal>
          <c:yVal>
            <c:numRef>
              <c:f>BPkW_Air!$AA$21:$AA$73</c:f>
              <c:numCache>
                <c:formatCode>0.00</c:formatCode>
                <c:ptCount val="53"/>
                <c:pt idx="0" formatCode="0.0">
                  <c:v>0</c:v>
                </c:pt>
                <c:pt idx="1">
                  <c:v>7.7925300000000011</c:v>
                </c:pt>
                <c:pt idx="2">
                  <c:v>15.585060000000002</c:v>
                </c:pt>
                <c:pt idx="3">
                  <c:v>23.377590000000001</c:v>
                </c:pt>
                <c:pt idx="4">
                  <c:v>31.170120000000004</c:v>
                </c:pt>
                <c:pt idx="5">
                  <c:v>38.962650000000004</c:v>
                </c:pt>
                <c:pt idx="6">
                  <c:v>46.755180000000003</c:v>
                </c:pt>
                <c:pt idx="7">
                  <c:v>54.547710000000002</c:v>
                </c:pt>
                <c:pt idx="8">
                  <c:v>62.340240000000009</c:v>
                </c:pt>
                <c:pt idx="9">
                  <c:v>66.236505000000008</c:v>
                </c:pt>
                <c:pt idx="10">
                  <c:v>70.132770000000008</c:v>
                </c:pt>
                <c:pt idx="11">
                  <c:v>71.691276000000016</c:v>
                </c:pt>
                <c:pt idx="12">
                  <c:v>73.249781999999996</c:v>
                </c:pt>
                <c:pt idx="13">
                  <c:v>74.808288000000005</c:v>
                </c:pt>
                <c:pt idx="14">
                  <c:v>75.587541000000002</c:v>
                </c:pt>
                <c:pt idx="15">
                  <c:v>76.366793999999999</c:v>
                </c:pt>
                <c:pt idx="16">
                  <c:v>77.14604700000001</c:v>
                </c:pt>
                <c:pt idx="17">
                  <c:v>77.925300000000007</c:v>
                </c:pt>
                <c:pt idx="18">
                  <c:v>77.14604700000001</c:v>
                </c:pt>
                <c:pt idx="19">
                  <c:v>76.366793999999999</c:v>
                </c:pt>
                <c:pt idx="20">
                  <c:v>75.587541000000002</c:v>
                </c:pt>
                <c:pt idx="21">
                  <c:v>74.808288000000005</c:v>
                </c:pt>
                <c:pt idx="22">
                  <c:v>74.029035000000007</c:v>
                </c:pt>
                <c:pt idx="23">
                  <c:v>73.249781999999996</c:v>
                </c:pt>
                <c:pt idx="24">
                  <c:v>72.470528999999999</c:v>
                </c:pt>
                <c:pt idx="25">
                  <c:v>71.691276000000002</c:v>
                </c:pt>
                <c:pt idx="26">
                  <c:v>70.912023000000005</c:v>
                </c:pt>
                <c:pt idx="27">
                  <c:v>70.132769999999994</c:v>
                </c:pt>
                <c:pt idx="28">
                  <c:v>68.574263999999999</c:v>
                </c:pt>
                <c:pt idx="29">
                  <c:v>67.015757999999991</c:v>
                </c:pt>
                <c:pt idx="30">
                  <c:v>65.457251999999997</c:v>
                </c:pt>
                <c:pt idx="31">
                  <c:v>63.898745999999996</c:v>
                </c:pt>
                <c:pt idx="32">
                  <c:v>62.340239999999994</c:v>
                </c:pt>
                <c:pt idx="33">
                  <c:v>60.781733999999993</c:v>
                </c:pt>
                <c:pt idx="34">
                  <c:v>59.223227999999992</c:v>
                </c:pt>
                <c:pt idx="35">
                  <c:v>57.66472199999999</c:v>
                </c:pt>
                <c:pt idx="36">
                  <c:v>56.106215999999989</c:v>
                </c:pt>
                <c:pt idx="37">
                  <c:v>54.547709999999981</c:v>
                </c:pt>
                <c:pt idx="38">
                  <c:v>52.98920399999998</c:v>
                </c:pt>
                <c:pt idx="39">
                  <c:v>51.430697999999978</c:v>
                </c:pt>
                <c:pt idx="40">
                  <c:v>49.872191999999977</c:v>
                </c:pt>
                <c:pt idx="41">
                  <c:v>48.313685999999976</c:v>
                </c:pt>
                <c:pt idx="42">
                  <c:v>46.755179999999974</c:v>
                </c:pt>
                <c:pt idx="43">
                  <c:v>42.858914999999975</c:v>
                </c:pt>
                <c:pt idx="44">
                  <c:v>38.962649999999975</c:v>
                </c:pt>
                <c:pt idx="45">
                  <c:v>35.066384999999975</c:v>
                </c:pt>
                <c:pt idx="46">
                  <c:v>31.170119999999976</c:v>
                </c:pt>
                <c:pt idx="47">
                  <c:v>27.273854999999976</c:v>
                </c:pt>
                <c:pt idx="48">
                  <c:v>23.377589999999977</c:v>
                </c:pt>
                <c:pt idx="49">
                  <c:v>19.481324999999977</c:v>
                </c:pt>
                <c:pt idx="50">
                  <c:v>15.585059999999975</c:v>
                </c:pt>
                <c:pt idx="51">
                  <c:v>11.688794999999978</c:v>
                </c:pt>
                <c:pt idx="52">
                  <c:v>7.7925299999999762</c:v>
                </c:pt>
              </c:numCache>
            </c:numRef>
          </c:yVal>
          <c:smooth val="0"/>
        </c:ser>
        <c:ser>
          <c:idx val="3"/>
          <c:order val="3"/>
          <c:tx>
            <c:strRef>
              <c:f>BPkW_Air!$AK$4</c:f>
              <c:strCache>
                <c:ptCount val="1"/>
                <c:pt idx="0">
                  <c:v>197Au</c:v>
                </c:pt>
              </c:strCache>
            </c:strRef>
          </c:tx>
          <c:spPr>
            <a:ln>
              <a:solidFill>
                <a:srgbClr val="7030A0"/>
              </a:solidFill>
            </a:ln>
          </c:spPr>
          <c:marker>
            <c:symbol val="none"/>
          </c:marker>
          <c:xVal>
            <c:numRef>
              <c:f>BPkW_Air!$AN$21:$AN$73</c:f>
              <c:numCache>
                <c:formatCode>0.0</c:formatCode>
                <c:ptCount val="53"/>
                <c:pt idx="0">
                  <c:v>0</c:v>
                </c:pt>
                <c:pt idx="1">
                  <c:v>3.4101994926456276E-2</c:v>
                </c:pt>
                <c:pt idx="2">
                  <c:v>10.522940251603726</c:v>
                </c:pt>
                <c:pt idx="3">
                  <c:v>14.587814217113344</c:v>
                </c:pt>
                <c:pt idx="4">
                  <c:v>17.281347642686875</c:v>
                </c:pt>
                <c:pt idx="5">
                  <c:v>19.71656429311755</c:v>
                </c:pt>
                <c:pt idx="6">
                  <c:v>22.302599971999854</c:v>
                </c:pt>
                <c:pt idx="7">
                  <c:v>25.404466431976996</c:v>
                </c:pt>
                <c:pt idx="8">
                  <c:v>29.597362942693056</c:v>
                </c:pt>
                <c:pt idx="9">
                  <c:v>32.574229845032889</c:v>
                </c:pt>
                <c:pt idx="10">
                  <c:v>36.956899306707875</c:v>
                </c:pt>
                <c:pt idx="11">
                  <c:v>39.557839130359177</c:v>
                </c:pt>
                <c:pt idx="12">
                  <c:v>43.303941624259608</c:v>
                </c:pt>
                <c:pt idx="13">
                  <c:v>50.042807704308856</c:v>
                </c:pt>
                <c:pt idx="14">
                  <c:v>53.520946618548606</c:v>
                </c:pt>
                <c:pt idx="15">
                  <c:v>58.556994607410338</c:v>
                </c:pt>
                <c:pt idx="16">
                  <c:v>66.998410765927943</c:v>
                </c:pt>
                <c:pt idx="17">
                  <c:v>92.066293964745185</c:v>
                </c:pt>
                <c:pt idx="18">
                  <c:v>116.32600867153903</c:v>
                </c:pt>
                <c:pt idx="19">
                  <c:v>129.52016264104819</c:v>
                </c:pt>
                <c:pt idx="20">
                  <c:v>140.55439953115371</c:v>
                </c:pt>
                <c:pt idx="21">
                  <c:v>150.06573121261201</c:v>
                </c:pt>
                <c:pt idx="22">
                  <c:v>158.97610703686834</c:v>
                </c:pt>
                <c:pt idx="23">
                  <c:v>168.17121951991271</c:v>
                </c:pt>
                <c:pt idx="24">
                  <c:v>176.8722985588131</c:v>
                </c:pt>
                <c:pt idx="25">
                  <c:v>185.52244559157666</c:v>
                </c:pt>
                <c:pt idx="26">
                  <c:v>194.08373478554338</c:v>
                </c:pt>
                <c:pt idx="27">
                  <c:v>202.64502397951011</c:v>
                </c:pt>
                <c:pt idx="28">
                  <c:v>220.15865424302211</c:v>
                </c:pt>
                <c:pt idx="29">
                  <c:v>238.20958747197093</c:v>
                </c:pt>
                <c:pt idx="30">
                  <c:v>257.00265592460624</c:v>
                </c:pt>
                <c:pt idx="31">
                  <c:v>276.79736173055471</c:v>
                </c:pt>
                <c:pt idx="32">
                  <c:v>297.91373145830244</c:v>
                </c:pt>
                <c:pt idx="33">
                  <c:v>321.02359734983736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</c:numCache>
            </c:numRef>
          </c:xVal>
          <c:yVal>
            <c:numRef>
              <c:f>BPkW_Air!$AK$21:$AK$73</c:f>
              <c:numCache>
                <c:formatCode>0.00</c:formatCode>
                <c:ptCount val="53"/>
                <c:pt idx="0" formatCode="0.0">
                  <c:v>0</c:v>
                </c:pt>
                <c:pt idx="1">
                  <c:v>10.608130000000001</c:v>
                </c:pt>
                <c:pt idx="2">
                  <c:v>21.216260000000002</c:v>
                </c:pt>
                <c:pt idx="3">
                  <c:v>31.824389999999998</c:v>
                </c:pt>
                <c:pt idx="4">
                  <c:v>42.432520000000004</c:v>
                </c:pt>
                <c:pt idx="5">
                  <c:v>53.040649999999999</c:v>
                </c:pt>
                <c:pt idx="6">
                  <c:v>63.648779999999995</c:v>
                </c:pt>
                <c:pt idx="7">
                  <c:v>74.256909999999991</c:v>
                </c:pt>
                <c:pt idx="8">
                  <c:v>84.865040000000008</c:v>
                </c:pt>
                <c:pt idx="9">
                  <c:v>90.169105000000002</c:v>
                </c:pt>
                <c:pt idx="10">
                  <c:v>95.473169999999996</c:v>
                </c:pt>
                <c:pt idx="11">
                  <c:v>97.594796000000002</c:v>
                </c:pt>
                <c:pt idx="12">
                  <c:v>99.716421999999994</c:v>
                </c:pt>
                <c:pt idx="13">
                  <c:v>101.838048</c:v>
                </c:pt>
                <c:pt idx="14">
                  <c:v>102.898861</c:v>
                </c:pt>
                <c:pt idx="15">
                  <c:v>103.95967399999999</c:v>
                </c:pt>
                <c:pt idx="16">
                  <c:v>105.020487</c:v>
                </c:pt>
                <c:pt idx="17">
                  <c:v>106.0813</c:v>
                </c:pt>
                <c:pt idx="18">
                  <c:v>105.020487</c:v>
                </c:pt>
                <c:pt idx="19">
                  <c:v>103.95967399999999</c:v>
                </c:pt>
                <c:pt idx="20">
                  <c:v>102.898861</c:v>
                </c:pt>
                <c:pt idx="21">
                  <c:v>101.838048</c:v>
                </c:pt>
                <c:pt idx="22">
                  <c:v>100.77723499999999</c:v>
                </c:pt>
                <c:pt idx="23">
                  <c:v>99.716421999999994</c:v>
                </c:pt>
                <c:pt idx="24">
                  <c:v>98.655608999999998</c:v>
                </c:pt>
                <c:pt idx="25">
                  <c:v>97.594795999999988</c:v>
                </c:pt>
                <c:pt idx="26">
                  <c:v>96.533982999999992</c:v>
                </c:pt>
                <c:pt idx="27">
                  <c:v>95.473169999999996</c:v>
                </c:pt>
                <c:pt idx="28">
                  <c:v>93.35154399999999</c:v>
                </c:pt>
                <c:pt idx="29">
                  <c:v>91.229917999999984</c:v>
                </c:pt>
                <c:pt idx="30">
                  <c:v>89.108291999999977</c:v>
                </c:pt>
                <c:pt idx="31">
                  <c:v>86.986665999999985</c:v>
                </c:pt>
                <c:pt idx="32">
                  <c:v>84.865039999999979</c:v>
                </c:pt>
                <c:pt idx="33">
                  <c:v>82.743413999999973</c:v>
                </c:pt>
                <c:pt idx="34">
                  <c:v>80.621787999999981</c:v>
                </c:pt>
                <c:pt idx="35">
                  <c:v>78.500161999999975</c:v>
                </c:pt>
                <c:pt idx="36">
                  <c:v>76.378535999999968</c:v>
                </c:pt>
                <c:pt idx="37">
                  <c:v>74.256909999999976</c:v>
                </c:pt>
                <c:pt idx="38">
                  <c:v>72.13528399999997</c:v>
                </c:pt>
                <c:pt idx="39">
                  <c:v>70.013657999999964</c:v>
                </c:pt>
                <c:pt idx="40">
                  <c:v>67.892031999999972</c:v>
                </c:pt>
                <c:pt idx="41">
                  <c:v>65.770405999999966</c:v>
                </c:pt>
                <c:pt idx="42">
                  <c:v>63.64877999999996</c:v>
                </c:pt>
                <c:pt idx="43">
                  <c:v>58.344714999999958</c:v>
                </c:pt>
                <c:pt idx="44">
                  <c:v>53.040649999999957</c:v>
                </c:pt>
                <c:pt idx="45">
                  <c:v>47.736584999999963</c:v>
                </c:pt>
                <c:pt idx="46">
                  <c:v>42.432519999999961</c:v>
                </c:pt>
                <c:pt idx="47">
                  <c:v>37.12845499999996</c:v>
                </c:pt>
                <c:pt idx="48">
                  <c:v>31.824389999999962</c:v>
                </c:pt>
                <c:pt idx="49">
                  <c:v>26.520324999999964</c:v>
                </c:pt>
                <c:pt idx="50">
                  <c:v>21.216259999999966</c:v>
                </c:pt>
                <c:pt idx="51">
                  <c:v>15.912194999999967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4119704"/>
        <c:axId val="454122840"/>
      </c:scatterChart>
      <c:valAx>
        <c:axId val="454119704"/>
        <c:scaling>
          <c:orientation val="maxMin"/>
          <c:max val="3000"/>
          <c:min val="0"/>
        </c:scaling>
        <c:delete val="0"/>
        <c:axPos val="b"/>
        <c:majorGridlines>
          <c:spPr>
            <a:ln>
              <a:solidFill>
                <a:schemeClr val="tx2">
                  <a:lumMod val="40000"/>
                  <a:lumOff val="60000"/>
                </a:schemeClr>
              </a:solidFill>
              <a:prstDash val="dash"/>
            </a:ln>
          </c:spPr>
        </c:majorGridlines>
        <c:title>
          <c:tx>
            <c:strRef>
              <c:f>BPkW_Air!$C$85</c:f>
              <c:strCache>
                <c:ptCount val="1"/>
                <c:pt idx="0">
                  <c:v>Thick [mm] Air</c:v>
                </c:pt>
              </c:strCache>
            </c:strRef>
          </c:tx>
          <c:layout>
            <c:manualLayout>
              <c:xMode val="edge"/>
              <c:yMode val="edge"/>
              <c:x val="0.31607449668434817"/>
              <c:y val="0.94807428632866642"/>
            </c:manualLayout>
          </c:layout>
          <c:overlay val="0"/>
          <c:spPr>
            <a:solidFill>
              <a:schemeClr val="bg1"/>
            </a:solidFill>
          </c:spPr>
          <c:txPr>
            <a:bodyPr/>
            <a:lstStyle/>
            <a:p>
              <a:pPr>
                <a:defRPr sz="1200">
                  <a:solidFill>
                    <a:schemeClr val="tx1"/>
                  </a:solidFill>
                </a:defRPr>
              </a:pPr>
              <a:endParaRPr lang="ja-JP"/>
            </a:p>
          </c:txPr>
        </c:title>
        <c:numFmt formatCode="0_ " sourceLinked="0"/>
        <c:majorTickMark val="cross"/>
        <c:minorTickMark val="out"/>
        <c:tickLblPos val="nextTo"/>
        <c:txPr>
          <a:bodyPr/>
          <a:lstStyle/>
          <a:p>
            <a:pPr>
              <a:defRPr sz="1100">
                <a:latin typeface="+mn-ea"/>
                <a:ea typeface="+mn-ea"/>
              </a:defRPr>
            </a:pPr>
            <a:endParaRPr lang="ja-JP"/>
          </a:p>
        </c:txPr>
        <c:crossAx val="454122840"/>
        <c:crosses val="autoZero"/>
        <c:crossBetween val="midCat"/>
        <c:majorUnit val="500"/>
      </c:valAx>
      <c:valAx>
        <c:axId val="454122840"/>
        <c:scaling>
          <c:orientation val="minMax"/>
        </c:scaling>
        <c:delete val="0"/>
        <c:axPos val="r"/>
        <c:majorGridlines>
          <c:spPr>
            <a:ln>
              <a:solidFill>
                <a:schemeClr val="tx2">
                  <a:lumMod val="40000"/>
                  <a:lumOff val="60000"/>
                </a:schemeClr>
              </a:solidFill>
              <a:prstDash val="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altLang="en-US" sz="1200"/>
                  <a:t>LETt </a:t>
                </a:r>
                <a:r>
                  <a:rPr lang="en-US" altLang="en-US" sz="1200">
                    <a:solidFill>
                      <a:srgbClr val="FF0000"/>
                    </a:solidFill>
                  </a:rPr>
                  <a:t>in Air </a:t>
                </a:r>
                <a:r>
                  <a:rPr lang="en-US" altLang="en-US" sz="1200" b="0">
                    <a:solidFill>
                      <a:schemeClr val="tx1"/>
                    </a:solidFill>
                  </a:rPr>
                  <a:t>[MeV/(mg/cm2)]</a:t>
                </a:r>
              </a:p>
            </c:rich>
          </c:tx>
          <c:layout>
            <c:manualLayout>
              <c:xMode val="edge"/>
              <c:yMode val="edge"/>
              <c:x val="0.93902832370385148"/>
              <c:y val="0.35262365552470604"/>
            </c:manualLayout>
          </c:layout>
          <c:overlay val="0"/>
        </c:title>
        <c:numFmt formatCode="0_ " sourceLinked="0"/>
        <c:majorTickMark val="cross"/>
        <c:minorTickMark val="out"/>
        <c:tickLblPos val="nextTo"/>
        <c:txPr>
          <a:bodyPr/>
          <a:lstStyle/>
          <a:p>
            <a:pPr>
              <a:defRPr sz="1100"/>
            </a:pPr>
            <a:endParaRPr lang="ja-JP"/>
          </a:p>
        </c:txPr>
        <c:crossAx val="454119704"/>
        <c:crossesAt val="-100"/>
        <c:crossBetween val="midCat"/>
      </c:valAx>
    </c:plotArea>
    <c:legend>
      <c:legendPos val="r"/>
      <c:layout>
        <c:manualLayout>
          <c:xMode val="edge"/>
          <c:yMode val="edge"/>
          <c:x val="8.3940550711465486E-2"/>
          <c:y val="0.15101915038342859"/>
          <c:w val="0.22996875"/>
          <c:h val="0.15542407407407408"/>
        </c:manualLayout>
      </c:layout>
      <c:overlay val="0"/>
      <c:spPr>
        <a:solidFill>
          <a:schemeClr val="bg1"/>
        </a:solidFill>
      </c:sp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50">
          <a:latin typeface="+mn-ea"/>
          <a:ea typeface="+mn-ea"/>
        </a:defRPr>
      </a:pPr>
      <a:endParaRPr lang="ja-JP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BPkW_Air!$C$80</c:f>
          <c:strCache>
            <c:ptCount val="1"/>
            <c:pt idx="0">
              <c:v>max LETt norm. wid</c:v>
            </c:pt>
          </c:strCache>
        </c:strRef>
      </c:tx>
      <c:layout>
        <c:manualLayout>
          <c:xMode val="edge"/>
          <c:yMode val="edge"/>
          <c:x val="6.3930378005864263E-2"/>
          <c:y val="5.4887999127866431E-3"/>
        </c:manualLayout>
      </c:layout>
      <c:overlay val="0"/>
      <c:txPr>
        <a:bodyPr/>
        <a:lstStyle/>
        <a:p>
          <a:pPr>
            <a:defRPr sz="1400"/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6.1844212962962962E-2"/>
          <c:y val="5.4289891946211082E-2"/>
          <c:w val="0.8070842592592592"/>
          <c:h val="0.82133726851851852"/>
        </c:manualLayout>
      </c:layout>
      <c:scatterChart>
        <c:scatterStyle val="smoothMarker"/>
        <c:varyColors val="0"/>
        <c:ser>
          <c:idx val="0"/>
          <c:order val="0"/>
          <c:tx>
            <c:strRef>
              <c:f>BPkW_Air!$G$4</c:f>
              <c:strCache>
                <c:ptCount val="1"/>
                <c:pt idx="0">
                  <c:v>40Ar</c:v>
                </c:pt>
              </c:strCache>
            </c:strRef>
          </c:tx>
          <c:spPr>
            <a:ln w="19050" cmpd="sng">
              <a:solidFill>
                <a:srgbClr val="FF0000"/>
              </a:solidFill>
            </a:ln>
          </c:spPr>
          <c:marker>
            <c:symbol val="circle"/>
            <c:size val="3"/>
            <c:spPr>
              <a:solidFill>
                <a:srgbClr val="FF0000"/>
              </a:solidFill>
              <a:ln>
                <a:noFill/>
              </a:ln>
            </c:spPr>
          </c:marker>
          <c:xVal>
            <c:numRef>
              <c:f>BPkW_Air!$K$21:$K$73</c:f>
              <c:numCache>
                <c:formatCode>0.0</c:formatCode>
                <c:ptCount val="53"/>
                <c:pt idx="0">
                  <c:v>15.086664524830621</c:v>
                </c:pt>
                <c:pt idx="1">
                  <c:v>15.079372465671788</c:v>
                </c:pt>
                <c:pt idx="2">
                  <c:v>13.51758712952282</c:v>
                </c:pt>
                <c:pt idx="3">
                  <c:v>11.107779662814107</c:v>
                </c:pt>
                <c:pt idx="4">
                  <c:v>9.677953754052627</c:v>
                </c:pt>
                <c:pt idx="5">
                  <c:v>8.6381168883560342</c:v>
                </c:pt>
                <c:pt idx="6">
                  <c:v>7.763930994885734</c:v>
                </c:pt>
                <c:pt idx="7">
                  <c:v>6.8904647005897939</c:v>
                </c:pt>
                <c:pt idx="8">
                  <c:v>5.911453880681675</c:v>
                </c:pt>
                <c:pt idx="9">
                  <c:v>5.3093428587125846</c:v>
                </c:pt>
                <c:pt idx="10">
                  <c:v>4.5471447519919739</c:v>
                </c:pt>
                <c:pt idx="11">
                  <c:v>4.1611704818404718</c:v>
                </c:pt>
                <c:pt idx="12">
                  <c:v>3.6982366380725242</c:v>
                </c:pt>
                <c:pt idx="13">
                  <c:v>3.0979428146186088</c:v>
                </c:pt>
                <c:pt idx="14">
                  <c:v>2.7141195917003191</c:v>
                </c:pt>
                <c:pt idx="15">
                  <c:v>2.2148172048505081</c:v>
                </c:pt>
                <c:pt idx="16">
                  <c:v>1.5671245686399633</c:v>
                </c:pt>
                <c:pt idx="17">
                  <c:v>0</c:v>
                </c:pt>
                <c:pt idx="18">
                  <c:v>-2.789066895739726</c:v>
                </c:pt>
                <c:pt idx="19">
                  <c:v>-4.0303718039862666</c:v>
                </c:pt>
                <c:pt idx="20">
                  <c:v>-5.0817142069649321</c:v>
                </c:pt>
                <c:pt idx="21">
                  <c:v>-6.0940983747078157</c:v>
                </c:pt>
                <c:pt idx="22">
                  <c:v>-7.0288521764289342</c:v>
                </c:pt>
                <c:pt idx="23">
                  <c:v>-7.9643553456421472</c:v>
                </c:pt>
                <c:pt idx="24">
                  <c:v>-8.9020007414000197</c:v>
                </c:pt>
                <c:pt idx="25">
                  <c:v>-9.8471142968447154</c:v>
                </c:pt>
                <c:pt idx="26">
                  <c:v>-10.80680424387079</c:v>
                </c:pt>
                <c:pt idx="27">
                  <c:v>-11.773448731732973</c:v>
                </c:pt>
                <c:pt idx="28">
                  <c:v>-13.761403508107591</c:v>
                </c:pt>
                <c:pt idx="29">
                  <c:v>-15.916866650044234</c:v>
                </c:pt>
                <c:pt idx="30">
                  <c:v>-18.196277686223883</c:v>
                </c:pt>
                <c:pt idx="31">
                  <c:v>-21.222816041411871</c:v>
                </c:pt>
                <c:pt idx="32">
                  <c:v>-24.534798963409511</c:v>
                </c:pt>
                <c:pt idx="33">
                  <c:v>-27.600881566151028</c:v>
                </c:pt>
                <c:pt idx="34">
                  <c:v>-31.439971614073986</c:v>
                </c:pt>
                <c:pt idx="35">
                  <c:v>-35.720919898097705</c:v>
                </c:pt>
                <c:pt idx="36">
                  <c:v>-40.571012435420172</c:v>
                </c:pt>
                <c:pt idx="37">
                  <c:v>-45.962900867504032</c:v>
                </c:pt>
                <c:pt idx="38">
                  <c:v>-52.0478456466561</c:v>
                </c:pt>
                <c:pt idx="39">
                  <c:v>-58.846816646443912</c:v>
                </c:pt>
                <c:pt idx="40">
                  <c:v>-66.595529151794963</c:v>
                </c:pt>
                <c:pt idx="41">
                  <c:v>-75.097960200582705</c:v>
                </c:pt>
                <c:pt idx="42">
                  <c:v>-84.870062049747844</c:v>
                </c:pt>
                <c:pt idx="43">
                  <c:v>-113.71768349556318</c:v>
                </c:pt>
                <c:pt idx="44" formatCode="0">
                  <c:v>-150.82245728755223</c:v>
                </c:pt>
                <c:pt idx="45" formatCode="0">
                  <c:v>-200.09406275729629</c:v>
                </c:pt>
                <c:pt idx="46" formatCode="0">
                  <c:v>-266.66884639236662</c:v>
                </c:pt>
                <c:pt idx="47" formatCode="0">
                  <c:v>-359.11850024290862</c:v>
                </c:pt>
                <c:pt idx="48" formatCode="0">
                  <c:v>-500.97109068700917</c:v>
                </c:pt>
                <c:pt idx="49" formatCode="0">
                  <c:v>-750.25495752820564</c:v>
                </c:pt>
                <c:pt idx="50" formatCode="0">
                  <c:v>-1334.4503915786577</c:v>
                </c:pt>
                <c:pt idx="51" formatCode="0">
                  <c:v>-2565.8464939141095</c:v>
                </c:pt>
                <c:pt idx="52" formatCode="0">
                  <c:v>-6294.9200911282214</c:v>
                </c:pt>
              </c:numCache>
            </c:numRef>
          </c:xVal>
          <c:yVal>
            <c:numRef>
              <c:f>BPkW_Air!$F$21:$F$73</c:f>
              <c:numCache>
                <c:formatCode>0.00</c:formatCode>
                <c:ptCount val="53"/>
                <c:pt idx="1">
                  <c:v>0.1</c:v>
                </c:pt>
                <c:pt idx="2">
                  <c:v>0.2</c:v>
                </c:pt>
                <c:pt idx="3">
                  <c:v>0.3</c:v>
                </c:pt>
                <c:pt idx="4">
                  <c:v>0.4</c:v>
                </c:pt>
                <c:pt idx="5">
                  <c:v>0.5</c:v>
                </c:pt>
                <c:pt idx="6">
                  <c:v>0.6</c:v>
                </c:pt>
                <c:pt idx="7">
                  <c:v>0.7</c:v>
                </c:pt>
                <c:pt idx="8">
                  <c:v>0.8</c:v>
                </c:pt>
                <c:pt idx="9">
                  <c:v>0.85</c:v>
                </c:pt>
                <c:pt idx="10">
                  <c:v>0.9</c:v>
                </c:pt>
                <c:pt idx="11">
                  <c:v>0.92</c:v>
                </c:pt>
                <c:pt idx="12">
                  <c:v>0.94</c:v>
                </c:pt>
                <c:pt idx="13">
                  <c:v>0.96</c:v>
                </c:pt>
                <c:pt idx="14">
                  <c:v>0.97</c:v>
                </c:pt>
                <c:pt idx="15">
                  <c:v>0.98</c:v>
                </c:pt>
                <c:pt idx="16">
                  <c:v>0.99</c:v>
                </c:pt>
                <c:pt idx="17" formatCode="0.0">
                  <c:v>1</c:v>
                </c:pt>
                <c:pt idx="18">
                  <c:v>0.99</c:v>
                </c:pt>
                <c:pt idx="19">
                  <c:v>0.98</c:v>
                </c:pt>
                <c:pt idx="20">
                  <c:v>0.97</c:v>
                </c:pt>
                <c:pt idx="21">
                  <c:v>0.96</c:v>
                </c:pt>
                <c:pt idx="22">
                  <c:v>0.95</c:v>
                </c:pt>
                <c:pt idx="23">
                  <c:v>0.94</c:v>
                </c:pt>
                <c:pt idx="24">
                  <c:v>0.92999999999999994</c:v>
                </c:pt>
                <c:pt idx="25">
                  <c:v>0.91999999999999993</c:v>
                </c:pt>
                <c:pt idx="26">
                  <c:v>0.90999999999999992</c:v>
                </c:pt>
                <c:pt idx="27">
                  <c:v>0.89999999999999991</c:v>
                </c:pt>
                <c:pt idx="28">
                  <c:v>0.87999999999999989</c:v>
                </c:pt>
                <c:pt idx="29">
                  <c:v>0.85999999999999988</c:v>
                </c:pt>
                <c:pt idx="30">
                  <c:v>0.83999999999999986</c:v>
                </c:pt>
                <c:pt idx="31">
                  <c:v>0.81999999999999984</c:v>
                </c:pt>
                <c:pt idx="32">
                  <c:v>0.79999999999999982</c:v>
                </c:pt>
                <c:pt idx="33">
                  <c:v>0.7799999999999998</c:v>
                </c:pt>
                <c:pt idx="34">
                  <c:v>0.75999999999999979</c:v>
                </c:pt>
                <c:pt idx="35">
                  <c:v>0.73999999999999977</c:v>
                </c:pt>
                <c:pt idx="36">
                  <c:v>0.71999999999999975</c:v>
                </c:pt>
                <c:pt idx="37">
                  <c:v>0.69999999999999973</c:v>
                </c:pt>
                <c:pt idx="38">
                  <c:v>0.67999999999999972</c:v>
                </c:pt>
                <c:pt idx="39">
                  <c:v>0.6599999999999997</c:v>
                </c:pt>
                <c:pt idx="40">
                  <c:v>0.63999999999999968</c:v>
                </c:pt>
                <c:pt idx="41">
                  <c:v>0.61999999999999966</c:v>
                </c:pt>
                <c:pt idx="42">
                  <c:v>0.59999999999999964</c:v>
                </c:pt>
                <c:pt idx="43">
                  <c:v>0.5499999999999996</c:v>
                </c:pt>
                <c:pt idx="44">
                  <c:v>0.49999999999999961</c:v>
                </c:pt>
                <c:pt idx="45">
                  <c:v>0.44999999999999962</c:v>
                </c:pt>
                <c:pt idx="46">
                  <c:v>0.39999999999999963</c:v>
                </c:pt>
                <c:pt idx="47">
                  <c:v>0.34999999999999964</c:v>
                </c:pt>
                <c:pt idx="48">
                  <c:v>0.29999999999999966</c:v>
                </c:pt>
                <c:pt idx="49">
                  <c:v>0.24999999999999967</c:v>
                </c:pt>
                <c:pt idx="50">
                  <c:v>0.19999999999999968</c:v>
                </c:pt>
                <c:pt idx="51">
                  <c:v>0.14999999999999969</c:v>
                </c:pt>
                <c:pt idx="52">
                  <c:v>9.9999999999999686E-2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BPkW_Air!$Q$4</c:f>
              <c:strCache>
                <c:ptCount val="1"/>
                <c:pt idx="0">
                  <c:v>84Kr</c:v>
                </c:pt>
              </c:strCache>
            </c:strRef>
          </c:tx>
          <c:spPr>
            <a:ln w="19050">
              <a:solidFill>
                <a:srgbClr val="0000FF"/>
              </a:solidFill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noFill/>
              </a:ln>
            </c:spPr>
          </c:marker>
          <c:xVal>
            <c:numRef>
              <c:f>BPkW_Air!$U$21:$U$73</c:f>
              <c:numCache>
                <c:formatCode>0.0</c:formatCode>
                <c:ptCount val="53"/>
                <c:pt idx="0">
                  <c:v>27.457119050922348</c:v>
                </c:pt>
                <c:pt idx="1">
                  <c:v>27.443383066733666</c:v>
                </c:pt>
                <c:pt idx="2">
                  <c:v>22.688999441728196</c:v>
                </c:pt>
                <c:pt idx="3">
                  <c:v>19.85028517965932</c:v>
                </c:pt>
                <c:pt idx="4">
                  <c:v>18.112280883557403</c:v>
                </c:pt>
                <c:pt idx="5">
                  <c:v>16.742361323146341</c:v>
                </c:pt>
                <c:pt idx="6">
                  <c:v>15.482110817974998</c:v>
                </c:pt>
                <c:pt idx="7">
                  <c:v>14.14445668637504</c:v>
                </c:pt>
                <c:pt idx="8">
                  <c:v>12.484300209024017</c:v>
                </c:pt>
                <c:pt idx="9">
                  <c:v>11.405906329343036</c:v>
                </c:pt>
                <c:pt idx="10">
                  <c:v>9.9635187882181633</c:v>
                </c:pt>
                <c:pt idx="11">
                  <c:v>9.2152518510325159</c:v>
                </c:pt>
                <c:pt idx="12">
                  <c:v>8.3176480298172457</c:v>
                </c:pt>
                <c:pt idx="13">
                  <c:v>7.1612949126938901</c:v>
                </c:pt>
                <c:pt idx="14">
                  <c:v>6.4013830277805788</c:v>
                </c:pt>
                <c:pt idx="15">
                  <c:v>5.4534068950627699</c:v>
                </c:pt>
                <c:pt idx="16">
                  <c:v>3.9852812491070289</c:v>
                </c:pt>
                <c:pt idx="17">
                  <c:v>0</c:v>
                </c:pt>
                <c:pt idx="18">
                  <c:v>-5.9721098568468314</c:v>
                </c:pt>
                <c:pt idx="19">
                  <c:v>-9.4458318743713612</c:v>
                </c:pt>
                <c:pt idx="20">
                  <c:v>-15.293799894574835</c:v>
                </c:pt>
                <c:pt idx="21">
                  <c:v>-19.740696894478528</c:v>
                </c:pt>
                <c:pt idx="22">
                  <c:v>-25.202709838159645</c:v>
                </c:pt>
                <c:pt idx="23">
                  <c:v>-31.112192612457438</c:v>
                </c:pt>
                <c:pt idx="24">
                  <c:v>-37.277590182733519</c:v>
                </c:pt>
                <c:pt idx="25">
                  <c:v>-43.392047204478075</c:v>
                </c:pt>
                <c:pt idx="26">
                  <c:v>-49.572595695571621</c:v>
                </c:pt>
                <c:pt idx="27">
                  <c:v>-55.545560959916742</c:v>
                </c:pt>
                <c:pt idx="28">
                  <c:v>-67.242420635060554</c:v>
                </c:pt>
                <c:pt idx="29">
                  <c:v>-78.628407026195546</c:v>
                </c:pt>
                <c:pt idx="30">
                  <c:v>-89.902972745286291</c:v>
                </c:pt>
                <c:pt idx="31">
                  <c:v>-101.11345562392374</c:v>
                </c:pt>
                <c:pt idx="32">
                  <c:v>-112.35347443756162</c:v>
                </c:pt>
                <c:pt idx="33">
                  <c:v>-123.919032251529</c:v>
                </c:pt>
                <c:pt idx="34">
                  <c:v>-135.65021866691447</c:v>
                </c:pt>
                <c:pt idx="35">
                  <c:v>-147.99908485711305</c:v>
                </c:pt>
                <c:pt idx="36">
                  <c:v>-160.61465093479953</c:v>
                </c:pt>
                <c:pt idx="37">
                  <c:v>-174.15159903729619</c:v>
                </c:pt>
                <c:pt idx="38">
                  <c:v>-187.89850700615554</c:v>
                </c:pt>
                <c:pt idx="39">
                  <c:v>-203.15220267547846</c:v>
                </c:pt>
                <c:pt idx="40">
                  <c:v>-218.92696015657518</c:v>
                </c:pt>
                <c:pt idx="41">
                  <c:v>-236.01457091273642</c:v>
                </c:pt>
                <c:pt idx="42">
                  <c:v>-254.67782908491137</c:v>
                </c:pt>
                <c:pt idx="43">
                  <c:v>-309.00050312509154</c:v>
                </c:pt>
                <c:pt idx="44" formatCode="0">
                  <c:v>-380.4116430747726</c:v>
                </c:pt>
                <c:pt idx="45" formatCode="0">
                  <c:v>-484.94644296053622</c:v>
                </c:pt>
                <c:pt idx="46" formatCode="0">
                  <c:v>-666.86232909274463</c:v>
                </c:pt>
                <c:pt idx="47" formatCode="0">
                  <c:v>-936.0841635804253</c:v>
                </c:pt>
                <c:pt idx="48" formatCode="0">
                  <c:v>-1334.8975141538078</c:v>
                </c:pt>
                <c:pt idx="49" formatCode="0">
                  <c:v>-2033.216331402989</c:v>
                </c:pt>
                <c:pt idx="50" formatCode="0">
                  <c:v>#N/A</c:v>
                </c:pt>
                <c:pt idx="51" formatCode="0">
                  <c:v>#N/A</c:v>
                </c:pt>
                <c:pt idx="52" formatCode="0">
                  <c:v>#N/A</c:v>
                </c:pt>
              </c:numCache>
            </c:numRef>
          </c:xVal>
          <c:yVal>
            <c:numRef>
              <c:f>BPkW_Air!$F$21:$F$73</c:f>
              <c:numCache>
                <c:formatCode>0.00</c:formatCode>
                <c:ptCount val="53"/>
                <c:pt idx="1">
                  <c:v>0.1</c:v>
                </c:pt>
                <c:pt idx="2">
                  <c:v>0.2</c:v>
                </c:pt>
                <c:pt idx="3">
                  <c:v>0.3</c:v>
                </c:pt>
                <c:pt idx="4">
                  <c:v>0.4</c:v>
                </c:pt>
                <c:pt idx="5">
                  <c:v>0.5</c:v>
                </c:pt>
                <c:pt idx="6">
                  <c:v>0.6</c:v>
                </c:pt>
                <c:pt idx="7">
                  <c:v>0.7</c:v>
                </c:pt>
                <c:pt idx="8">
                  <c:v>0.8</c:v>
                </c:pt>
                <c:pt idx="9">
                  <c:v>0.85</c:v>
                </c:pt>
                <c:pt idx="10">
                  <c:v>0.9</c:v>
                </c:pt>
                <c:pt idx="11">
                  <c:v>0.92</c:v>
                </c:pt>
                <c:pt idx="12">
                  <c:v>0.94</c:v>
                </c:pt>
                <c:pt idx="13">
                  <c:v>0.96</c:v>
                </c:pt>
                <c:pt idx="14">
                  <c:v>0.97</c:v>
                </c:pt>
                <c:pt idx="15">
                  <c:v>0.98</c:v>
                </c:pt>
                <c:pt idx="16">
                  <c:v>0.99</c:v>
                </c:pt>
                <c:pt idx="17" formatCode="0.0">
                  <c:v>1</c:v>
                </c:pt>
                <c:pt idx="18">
                  <c:v>0.99</c:v>
                </c:pt>
                <c:pt idx="19">
                  <c:v>0.98</c:v>
                </c:pt>
                <c:pt idx="20">
                  <c:v>0.97</c:v>
                </c:pt>
                <c:pt idx="21">
                  <c:v>0.96</c:v>
                </c:pt>
                <c:pt idx="22">
                  <c:v>0.95</c:v>
                </c:pt>
                <c:pt idx="23">
                  <c:v>0.94</c:v>
                </c:pt>
                <c:pt idx="24">
                  <c:v>0.92999999999999994</c:v>
                </c:pt>
                <c:pt idx="25">
                  <c:v>0.91999999999999993</c:v>
                </c:pt>
                <c:pt idx="26">
                  <c:v>0.90999999999999992</c:v>
                </c:pt>
                <c:pt idx="27">
                  <c:v>0.89999999999999991</c:v>
                </c:pt>
                <c:pt idx="28">
                  <c:v>0.87999999999999989</c:v>
                </c:pt>
                <c:pt idx="29">
                  <c:v>0.85999999999999988</c:v>
                </c:pt>
                <c:pt idx="30">
                  <c:v>0.83999999999999986</c:v>
                </c:pt>
                <c:pt idx="31">
                  <c:v>0.81999999999999984</c:v>
                </c:pt>
                <c:pt idx="32">
                  <c:v>0.79999999999999982</c:v>
                </c:pt>
                <c:pt idx="33">
                  <c:v>0.7799999999999998</c:v>
                </c:pt>
                <c:pt idx="34">
                  <c:v>0.75999999999999979</c:v>
                </c:pt>
                <c:pt idx="35">
                  <c:v>0.73999999999999977</c:v>
                </c:pt>
                <c:pt idx="36">
                  <c:v>0.71999999999999975</c:v>
                </c:pt>
                <c:pt idx="37">
                  <c:v>0.69999999999999973</c:v>
                </c:pt>
                <c:pt idx="38">
                  <c:v>0.67999999999999972</c:v>
                </c:pt>
                <c:pt idx="39">
                  <c:v>0.6599999999999997</c:v>
                </c:pt>
                <c:pt idx="40">
                  <c:v>0.63999999999999968</c:v>
                </c:pt>
                <c:pt idx="41">
                  <c:v>0.61999999999999966</c:v>
                </c:pt>
                <c:pt idx="42">
                  <c:v>0.59999999999999964</c:v>
                </c:pt>
                <c:pt idx="43">
                  <c:v>0.5499999999999996</c:v>
                </c:pt>
                <c:pt idx="44">
                  <c:v>0.49999999999999961</c:v>
                </c:pt>
                <c:pt idx="45">
                  <c:v>0.44999999999999962</c:v>
                </c:pt>
                <c:pt idx="46">
                  <c:v>0.39999999999999963</c:v>
                </c:pt>
                <c:pt idx="47">
                  <c:v>0.34999999999999964</c:v>
                </c:pt>
                <c:pt idx="48">
                  <c:v>0.29999999999999966</c:v>
                </c:pt>
                <c:pt idx="49">
                  <c:v>0.24999999999999967</c:v>
                </c:pt>
                <c:pt idx="50">
                  <c:v>0.19999999999999968</c:v>
                </c:pt>
                <c:pt idx="51">
                  <c:v>0.14999999999999969</c:v>
                </c:pt>
                <c:pt idx="52">
                  <c:v>9.9999999999999686E-2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BPkW_Air!$AA$4</c:f>
              <c:strCache>
                <c:ptCount val="1"/>
                <c:pt idx="0">
                  <c:v>132Xe</c:v>
                </c:pt>
              </c:strCache>
            </c:strRef>
          </c:tx>
          <c:spPr>
            <a:ln>
              <a:solidFill>
                <a:srgbClr val="008000"/>
              </a:solidFill>
            </a:ln>
          </c:spPr>
          <c:marker>
            <c:symbol val="circle"/>
            <c:size val="3"/>
            <c:spPr>
              <a:solidFill>
                <a:srgbClr val="008000"/>
              </a:solidFill>
              <a:ln>
                <a:noFill/>
              </a:ln>
            </c:spPr>
          </c:marker>
          <c:xVal>
            <c:numRef>
              <c:f>BPkW_Air!$AE$21:$AE$73</c:f>
              <c:numCache>
                <c:formatCode>0.0</c:formatCode>
                <c:ptCount val="53"/>
                <c:pt idx="0">
                  <c:v>63.022175813436071</c:v>
                </c:pt>
                <c:pt idx="1">
                  <c:v>62.996271938389214</c:v>
                </c:pt>
                <c:pt idx="2">
                  <c:v>56.817174887875076</c:v>
                </c:pt>
                <c:pt idx="3">
                  <c:v>53.457570956373203</c:v>
                </c:pt>
                <c:pt idx="4">
                  <c:v>51.346066134682218</c:v>
                </c:pt>
                <c:pt idx="5">
                  <c:v>49.50864141508962</c:v>
                </c:pt>
                <c:pt idx="6">
                  <c:v>47.578724882251677</c:v>
                </c:pt>
                <c:pt idx="7">
                  <c:v>45.227305177759803</c:v>
                </c:pt>
                <c:pt idx="8">
                  <c:v>41.909291647884245</c:v>
                </c:pt>
                <c:pt idx="9">
                  <c:v>39.56260816086477</c:v>
                </c:pt>
                <c:pt idx="10">
                  <c:v>36.235565268954559</c:v>
                </c:pt>
                <c:pt idx="11">
                  <c:v>34.389299626291248</c:v>
                </c:pt>
                <c:pt idx="12">
                  <c:v>31.912400284123471</c:v>
                </c:pt>
                <c:pt idx="13">
                  <c:v>28.012581175696177</c:v>
                </c:pt>
                <c:pt idx="14">
                  <c:v>24.829222266182398</c:v>
                </c:pt>
                <c:pt idx="15">
                  <c:v>20.406528023559687</c:v>
                </c:pt>
                <c:pt idx="16">
                  <c:v>16.702022848829159</c:v>
                </c:pt>
                <c:pt idx="17">
                  <c:v>0</c:v>
                </c:pt>
                <c:pt idx="18">
                  <c:v>-20.695517622185314</c:v>
                </c:pt>
                <c:pt idx="19">
                  <c:v>-29.715444506364939</c:v>
                </c:pt>
                <c:pt idx="20">
                  <c:v>-37.385826726494294</c:v>
                </c:pt>
                <c:pt idx="21">
                  <c:v>-44.098613328326302</c:v>
                </c:pt>
                <c:pt idx="22">
                  <c:v>-50.575735631925404</c:v>
                </c:pt>
                <c:pt idx="23">
                  <c:v>-56.530958057158294</c:v>
                </c:pt>
                <c:pt idx="24">
                  <c:v>-62.430583370481294</c:v>
                </c:pt>
                <c:pt idx="25">
                  <c:v>-68.141672063530478</c:v>
                </c:pt>
                <c:pt idx="26">
                  <c:v>-73.839337517634277</c:v>
                </c:pt>
                <c:pt idx="27">
                  <c:v>-79.470795134928721</c:v>
                </c:pt>
                <c:pt idx="28">
                  <c:v>-90.743279303026014</c:v>
                </c:pt>
                <c:pt idx="29">
                  <c:v>-102.11567143247041</c:v>
                </c:pt>
                <c:pt idx="30">
                  <c:v>-113.75704589273067</c:v>
                </c:pt>
                <c:pt idx="31">
                  <c:v>-125.82996831415863</c:v>
                </c:pt>
                <c:pt idx="32">
                  <c:v>-138.42601121391556</c:v>
                </c:pt>
                <c:pt idx="33">
                  <c:v>-151.65649652738389</c:v>
                </c:pt>
                <c:pt idx="34">
                  <c:v>-165.7366769659005</c:v>
                </c:pt>
                <c:pt idx="35">
                  <c:v>-181.03115193796182</c:v>
                </c:pt>
                <c:pt idx="36">
                  <c:v>-196.87097048037745</c:v>
                </c:pt>
                <c:pt idx="37">
                  <c:v>-214.69939223599172</c:v>
                </c:pt>
                <c:pt idx="38">
                  <c:v>-232.71333371950013</c:v>
                </c:pt>
                <c:pt idx="39">
                  <c:v>-254.18709322590209</c:v>
                </c:pt>
                <c:pt idx="40">
                  <c:v>-276.31455251155495</c:v>
                </c:pt>
                <c:pt idx="41">
                  <c:v>-302.34060930462169</c:v>
                </c:pt>
                <c:pt idx="42">
                  <c:v>-331.13615772178082</c:v>
                </c:pt>
                <c:pt idx="43">
                  <c:v>-424.70720465263554</c:v>
                </c:pt>
                <c:pt idx="44" formatCode="0">
                  <c:v>-572.73112892931988</c:v>
                </c:pt>
                <c:pt idx="45" formatCode="0">
                  <c:v>-746.71832785760387</c:v>
                </c:pt>
                <c:pt idx="46" formatCode="0">
                  <c:v>#N/A</c:v>
                </c:pt>
                <c:pt idx="47" formatCode="0">
                  <c:v>#N/A</c:v>
                </c:pt>
                <c:pt idx="48" formatCode="0">
                  <c:v>#N/A</c:v>
                </c:pt>
                <c:pt idx="49" formatCode="0">
                  <c:v>#N/A</c:v>
                </c:pt>
                <c:pt idx="50" formatCode="0">
                  <c:v>#N/A</c:v>
                </c:pt>
                <c:pt idx="51" formatCode="0">
                  <c:v>#N/A</c:v>
                </c:pt>
                <c:pt idx="52" formatCode="0">
                  <c:v>#N/A</c:v>
                </c:pt>
              </c:numCache>
            </c:numRef>
          </c:xVal>
          <c:yVal>
            <c:numRef>
              <c:f>BPkW_Air!$F$21:$F$73</c:f>
              <c:numCache>
                <c:formatCode>0.00</c:formatCode>
                <c:ptCount val="53"/>
                <c:pt idx="1">
                  <c:v>0.1</c:v>
                </c:pt>
                <c:pt idx="2">
                  <c:v>0.2</c:v>
                </c:pt>
                <c:pt idx="3">
                  <c:v>0.3</c:v>
                </c:pt>
                <c:pt idx="4">
                  <c:v>0.4</c:v>
                </c:pt>
                <c:pt idx="5">
                  <c:v>0.5</c:v>
                </c:pt>
                <c:pt idx="6">
                  <c:v>0.6</c:v>
                </c:pt>
                <c:pt idx="7">
                  <c:v>0.7</c:v>
                </c:pt>
                <c:pt idx="8">
                  <c:v>0.8</c:v>
                </c:pt>
                <c:pt idx="9">
                  <c:v>0.85</c:v>
                </c:pt>
                <c:pt idx="10">
                  <c:v>0.9</c:v>
                </c:pt>
                <c:pt idx="11">
                  <c:v>0.92</c:v>
                </c:pt>
                <c:pt idx="12">
                  <c:v>0.94</c:v>
                </c:pt>
                <c:pt idx="13">
                  <c:v>0.96</c:v>
                </c:pt>
                <c:pt idx="14">
                  <c:v>0.97</c:v>
                </c:pt>
                <c:pt idx="15">
                  <c:v>0.98</c:v>
                </c:pt>
                <c:pt idx="16">
                  <c:v>0.99</c:v>
                </c:pt>
                <c:pt idx="17" formatCode="0.0">
                  <c:v>1</c:v>
                </c:pt>
                <c:pt idx="18">
                  <c:v>0.99</c:v>
                </c:pt>
                <c:pt idx="19">
                  <c:v>0.98</c:v>
                </c:pt>
                <c:pt idx="20">
                  <c:v>0.97</c:v>
                </c:pt>
                <c:pt idx="21">
                  <c:v>0.96</c:v>
                </c:pt>
                <c:pt idx="22">
                  <c:v>0.95</c:v>
                </c:pt>
                <c:pt idx="23">
                  <c:v>0.94</c:v>
                </c:pt>
                <c:pt idx="24">
                  <c:v>0.92999999999999994</c:v>
                </c:pt>
                <c:pt idx="25">
                  <c:v>0.91999999999999993</c:v>
                </c:pt>
                <c:pt idx="26">
                  <c:v>0.90999999999999992</c:v>
                </c:pt>
                <c:pt idx="27">
                  <c:v>0.89999999999999991</c:v>
                </c:pt>
                <c:pt idx="28">
                  <c:v>0.87999999999999989</c:v>
                </c:pt>
                <c:pt idx="29">
                  <c:v>0.85999999999999988</c:v>
                </c:pt>
                <c:pt idx="30">
                  <c:v>0.83999999999999986</c:v>
                </c:pt>
                <c:pt idx="31">
                  <c:v>0.81999999999999984</c:v>
                </c:pt>
                <c:pt idx="32">
                  <c:v>0.79999999999999982</c:v>
                </c:pt>
                <c:pt idx="33">
                  <c:v>0.7799999999999998</c:v>
                </c:pt>
                <c:pt idx="34">
                  <c:v>0.75999999999999979</c:v>
                </c:pt>
                <c:pt idx="35">
                  <c:v>0.73999999999999977</c:v>
                </c:pt>
                <c:pt idx="36">
                  <c:v>0.71999999999999975</c:v>
                </c:pt>
                <c:pt idx="37">
                  <c:v>0.69999999999999973</c:v>
                </c:pt>
                <c:pt idx="38">
                  <c:v>0.67999999999999972</c:v>
                </c:pt>
                <c:pt idx="39">
                  <c:v>0.6599999999999997</c:v>
                </c:pt>
                <c:pt idx="40">
                  <c:v>0.63999999999999968</c:v>
                </c:pt>
                <c:pt idx="41">
                  <c:v>0.61999999999999966</c:v>
                </c:pt>
                <c:pt idx="42">
                  <c:v>0.59999999999999964</c:v>
                </c:pt>
                <c:pt idx="43">
                  <c:v>0.5499999999999996</c:v>
                </c:pt>
                <c:pt idx="44">
                  <c:v>0.49999999999999961</c:v>
                </c:pt>
                <c:pt idx="45">
                  <c:v>0.44999999999999962</c:v>
                </c:pt>
                <c:pt idx="46">
                  <c:v>0.39999999999999963</c:v>
                </c:pt>
                <c:pt idx="47">
                  <c:v>0.34999999999999964</c:v>
                </c:pt>
                <c:pt idx="48">
                  <c:v>0.29999999999999966</c:v>
                </c:pt>
                <c:pt idx="49">
                  <c:v>0.24999999999999967</c:v>
                </c:pt>
                <c:pt idx="50">
                  <c:v>0.19999999999999968</c:v>
                </c:pt>
                <c:pt idx="51">
                  <c:v>0.14999999999999969</c:v>
                </c:pt>
                <c:pt idx="52">
                  <c:v>9.9999999999999686E-2</c:v>
                </c:pt>
              </c:numCache>
            </c:numRef>
          </c:yVal>
          <c:smooth val="0"/>
        </c:ser>
        <c:ser>
          <c:idx val="3"/>
          <c:order val="3"/>
          <c:tx>
            <c:strRef>
              <c:f>BPkW_Air!$AK$4</c:f>
              <c:strCache>
                <c:ptCount val="1"/>
                <c:pt idx="0">
                  <c:v>197Au</c:v>
                </c:pt>
              </c:strCache>
            </c:strRef>
          </c:tx>
          <c:spPr>
            <a:ln>
              <a:solidFill>
                <a:srgbClr val="7030A0"/>
              </a:solidFill>
            </a:ln>
          </c:spPr>
          <c:marker>
            <c:symbol val="circle"/>
            <c:size val="3"/>
            <c:spPr>
              <a:solidFill>
                <a:srgbClr val="7030A0"/>
              </a:solidFill>
              <a:ln>
                <a:noFill/>
              </a:ln>
            </c:spPr>
          </c:marker>
          <c:xVal>
            <c:numRef>
              <c:f>BPkW_Air!$AO$21:$AO$73</c:f>
              <c:numCache>
                <c:formatCode>0.0</c:formatCode>
                <c:ptCount val="53"/>
                <c:pt idx="0">
                  <c:v>92.066293964745185</c:v>
                </c:pt>
                <c:pt idx="1">
                  <c:v>92.032191969818726</c:v>
                </c:pt>
                <c:pt idx="2">
                  <c:v>81.543353713141457</c:v>
                </c:pt>
                <c:pt idx="3">
                  <c:v>77.478479747631837</c:v>
                </c:pt>
                <c:pt idx="4">
                  <c:v>74.784946322058317</c:v>
                </c:pt>
                <c:pt idx="5">
                  <c:v>72.349729671627642</c:v>
                </c:pt>
                <c:pt idx="6">
                  <c:v>69.763693992745331</c:v>
                </c:pt>
                <c:pt idx="7">
                  <c:v>66.661827532768186</c:v>
                </c:pt>
                <c:pt idx="8">
                  <c:v>62.468931022052132</c:v>
                </c:pt>
                <c:pt idx="9">
                  <c:v>59.492064119712296</c:v>
                </c:pt>
                <c:pt idx="10">
                  <c:v>55.10939465803731</c:v>
                </c:pt>
                <c:pt idx="11">
                  <c:v>52.508454834386008</c:v>
                </c:pt>
                <c:pt idx="12">
                  <c:v>48.762352340485577</c:v>
                </c:pt>
                <c:pt idx="13">
                  <c:v>42.023486260436329</c:v>
                </c:pt>
                <c:pt idx="14">
                  <c:v>38.545347346196579</c:v>
                </c:pt>
                <c:pt idx="15">
                  <c:v>33.509299357334847</c:v>
                </c:pt>
                <c:pt idx="16">
                  <c:v>25.067883198817242</c:v>
                </c:pt>
                <c:pt idx="17">
                  <c:v>0</c:v>
                </c:pt>
                <c:pt idx="18">
                  <c:v>-24.259714706793844</c:v>
                </c:pt>
                <c:pt idx="19">
                  <c:v>-37.453868676303003</c:v>
                </c:pt>
                <c:pt idx="20">
                  <c:v>-48.488105566408521</c:v>
                </c:pt>
                <c:pt idx="21">
                  <c:v>-57.999437247866823</c:v>
                </c:pt>
                <c:pt idx="22">
                  <c:v>-66.909813072123157</c:v>
                </c:pt>
                <c:pt idx="23">
                  <c:v>-76.104925555167526</c:v>
                </c:pt>
                <c:pt idx="24">
                  <c:v>-84.806004594067915</c:v>
                </c:pt>
                <c:pt idx="25">
                  <c:v>-93.45615162683147</c:v>
                </c:pt>
                <c:pt idx="26">
                  <c:v>-102.0174408207982</c:v>
                </c:pt>
                <c:pt idx="27">
                  <c:v>-110.57873001476493</c:v>
                </c:pt>
                <c:pt idx="28">
                  <c:v>-128.09236027827694</c:v>
                </c:pt>
                <c:pt idx="29">
                  <c:v>-146.14329350722574</c:v>
                </c:pt>
                <c:pt idx="30">
                  <c:v>-164.93636195986107</c:v>
                </c:pt>
                <c:pt idx="31">
                  <c:v>-184.73106776580954</c:v>
                </c:pt>
                <c:pt idx="32">
                  <c:v>-205.84743749355727</c:v>
                </c:pt>
                <c:pt idx="33">
                  <c:v>-228.95730338509219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 formatCode="0">
                  <c:v>#N/A</c:v>
                </c:pt>
                <c:pt idx="45" formatCode="0">
                  <c:v>#N/A</c:v>
                </c:pt>
                <c:pt idx="46" formatCode="0">
                  <c:v>#N/A</c:v>
                </c:pt>
                <c:pt idx="47" formatCode="0">
                  <c:v>#N/A</c:v>
                </c:pt>
                <c:pt idx="48" formatCode="0">
                  <c:v>#N/A</c:v>
                </c:pt>
                <c:pt idx="49" formatCode="0">
                  <c:v>#N/A</c:v>
                </c:pt>
                <c:pt idx="50" formatCode="0">
                  <c:v>#N/A</c:v>
                </c:pt>
                <c:pt idx="51" formatCode="0">
                  <c:v>#N/A</c:v>
                </c:pt>
              </c:numCache>
            </c:numRef>
          </c:xVal>
          <c:yVal>
            <c:numRef>
              <c:f>BPkW_Air!$F$21:$F$73</c:f>
              <c:numCache>
                <c:formatCode>0.00</c:formatCode>
                <c:ptCount val="53"/>
                <c:pt idx="1">
                  <c:v>0.1</c:v>
                </c:pt>
                <c:pt idx="2">
                  <c:v>0.2</c:v>
                </c:pt>
                <c:pt idx="3">
                  <c:v>0.3</c:v>
                </c:pt>
                <c:pt idx="4">
                  <c:v>0.4</c:v>
                </c:pt>
                <c:pt idx="5">
                  <c:v>0.5</c:v>
                </c:pt>
                <c:pt idx="6">
                  <c:v>0.6</c:v>
                </c:pt>
                <c:pt idx="7">
                  <c:v>0.7</c:v>
                </c:pt>
                <c:pt idx="8">
                  <c:v>0.8</c:v>
                </c:pt>
                <c:pt idx="9">
                  <c:v>0.85</c:v>
                </c:pt>
                <c:pt idx="10">
                  <c:v>0.9</c:v>
                </c:pt>
                <c:pt idx="11">
                  <c:v>0.92</c:v>
                </c:pt>
                <c:pt idx="12">
                  <c:v>0.94</c:v>
                </c:pt>
                <c:pt idx="13">
                  <c:v>0.96</c:v>
                </c:pt>
                <c:pt idx="14">
                  <c:v>0.97</c:v>
                </c:pt>
                <c:pt idx="15">
                  <c:v>0.98</c:v>
                </c:pt>
                <c:pt idx="16">
                  <c:v>0.99</c:v>
                </c:pt>
                <c:pt idx="17" formatCode="0.0">
                  <c:v>1</c:v>
                </c:pt>
                <c:pt idx="18">
                  <c:v>0.99</c:v>
                </c:pt>
                <c:pt idx="19">
                  <c:v>0.98</c:v>
                </c:pt>
                <c:pt idx="20">
                  <c:v>0.97</c:v>
                </c:pt>
                <c:pt idx="21">
                  <c:v>0.96</c:v>
                </c:pt>
                <c:pt idx="22">
                  <c:v>0.95</c:v>
                </c:pt>
                <c:pt idx="23">
                  <c:v>0.94</c:v>
                </c:pt>
                <c:pt idx="24">
                  <c:v>0.92999999999999994</c:v>
                </c:pt>
                <c:pt idx="25">
                  <c:v>0.91999999999999993</c:v>
                </c:pt>
                <c:pt idx="26">
                  <c:v>0.90999999999999992</c:v>
                </c:pt>
                <c:pt idx="27">
                  <c:v>0.89999999999999991</c:v>
                </c:pt>
                <c:pt idx="28">
                  <c:v>0.87999999999999989</c:v>
                </c:pt>
                <c:pt idx="29">
                  <c:v>0.85999999999999988</c:v>
                </c:pt>
                <c:pt idx="30">
                  <c:v>0.83999999999999986</c:v>
                </c:pt>
                <c:pt idx="31">
                  <c:v>0.81999999999999984</c:v>
                </c:pt>
                <c:pt idx="32">
                  <c:v>0.79999999999999982</c:v>
                </c:pt>
                <c:pt idx="33">
                  <c:v>0.7799999999999998</c:v>
                </c:pt>
                <c:pt idx="34">
                  <c:v>0.75999999999999979</c:v>
                </c:pt>
                <c:pt idx="35">
                  <c:v>0.73999999999999977</c:v>
                </c:pt>
                <c:pt idx="36">
                  <c:v>0.71999999999999975</c:v>
                </c:pt>
                <c:pt idx="37">
                  <c:v>0.69999999999999973</c:v>
                </c:pt>
                <c:pt idx="38">
                  <c:v>0.67999999999999972</c:v>
                </c:pt>
                <c:pt idx="39">
                  <c:v>0.6599999999999997</c:v>
                </c:pt>
                <c:pt idx="40">
                  <c:v>0.63999999999999968</c:v>
                </c:pt>
                <c:pt idx="41">
                  <c:v>0.61999999999999966</c:v>
                </c:pt>
                <c:pt idx="42">
                  <c:v>0.59999999999999964</c:v>
                </c:pt>
                <c:pt idx="43">
                  <c:v>0.5499999999999996</c:v>
                </c:pt>
                <c:pt idx="44">
                  <c:v>0.49999999999999961</c:v>
                </c:pt>
                <c:pt idx="45">
                  <c:v>0.44999999999999962</c:v>
                </c:pt>
                <c:pt idx="46">
                  <c:v>0.39999999999999963</c:v>
                </c:pt>
                <c:pt idx="47">
                  <c:v>0.34999999999999964</c:v>
                </c:pt>
                <c:pt idx="48">
                  <c:v>0.29999999999999966</c:v>
                </c:pt>
                <c:pt idx="49">
                  <c:v>0.24999999999999967</c:v>
                </c:pt>
                <c:pt idx="50">
                  <c:v>0.19999999999999968</c:v>
                </c:pt>
                <c:pt idx="51">
                  <c:v>0.14999999999999969</c:v>
                </c:pt>
                <c:pt idx="52">
                  <c:v>9.9999999999999686E-2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4125976"/>
        <c:axId val="454120880"/>
      </c:scatterChart>
      <c:valAx>
        <c:axId val="454125976"/>
        <c:scaling>
          <c:orientation val="minMax"/>
          <c:max val="100"/>
          <c:min val="-200"/>
        </c:scaling>
        <c:delete val="0"/>
        <c:axPos val="b"/>
        <c:majorGridlines>
          <c:spPr>
            <a:ln>
              <a:solidFill>
                <a:schemeClr val="tx2">
                  <a:lumMod val="40000"/>
                  <a:lumOff val="60000"/>
                </a:schemeClr>
              </a:solidFill>
              <a:prstDash val="dash"/>
            </a:ln>
          </c:spPr>
        </c:majorGridlines>
        <c:title>
          <c:tx>
            <c:strRef>
              <c:f>BPkW_Air!$C$85</c:f>
              <c:strCache>
                <c:ptCount val="1"/>
                <c:pt idx="0">
                  <c:v>Thick [mm] Air</c:v>
                </c:pt>
              </c:strCache>
            </c:strRef>
          </c:tx>
          <c:layout>
            <c:manualLayout>
              <c:xMode val="edge"/>
              <c:yMode val="edge"/>
              <c:x val="0.47687998622940025"/>
              <c:y val="0.93185149451327376"/>
            </c:manualLayout>
          </c:layout>
          <c:overlay val="0"/>
          <c:spPr>
            <a:solidFill>
              <a:schemeClr val="bg1"/>
            </a:solidFill>
          </c:spPr>
          <c:txPr>
            <a:bodyPr/>
            <a:lstStyle/>
            <a:p>
              <a:pPr>
                <a:defRPr sz="1200">
                  <a:solidFill>
                    <a:schemeClr val="tx1"/>
                  </a:solidFill>
                </a:defRPr>
              </a:pPr>
              <a:endParaRPr lang="ja-JP"/>
            </a:p>
          </c:txPr>
        </c:title>
        <c:numFmt formatCode="0_ " sourceLinked="0"/>
        <c:majorTickMark val="cross"/>
        <c:minorTickMark val="out"/>
        <c:tickLblPos val="nextTo"/>
        <c:txPr>
          <a:bodyPr/>
          <a:lstStyle/>
          <a:p>
            <a:pPr>
              <a:defRPr sz="1100">
                <a:latin typeface="+mn-ea"/>
                <a:ea typeface="+mn-ea"/>
              </a:defRPr>
            </a:pPr>
            <a:endParaRPr lang="ja-JP"/>
          </a:p>
        </c:txPr>
        <c:crossAx val="454120880"/>
        <c:crosses val="autoZero"/>
        <c:crossBetween val="midCat"/>
        <c:majorUnit val="50"/>
      </c:valAx>
      <c:valAx>
        <c:axId val="454120880"/>
        <c:scaling>
          <c:orientation val="minMax"/>
          <c:max val="1"/>
          <c:min val="0.5"/>
        </c:scaling>
        <c:delete val="0"/>
        <c:axPos val="l"/>
        <c:majorGridlines>
          <c:spPr>
            <a:ln>
              <a:solidFill>
                <a:schemeClr val="tx2">
                  <a:lumMod val="40000"/>
                  <a:lumOff val="60000"/>
                </a:schemeClr>
              </a:solidFill>
              <a:prstDash val="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altLang="en-US" sz="1200"/>
                  <a:t>max LETt </a:t>
                </a:r>
                <a:r>
                  <a:rPr lang="en-US" altLang="en-US" sz="1200" baseline="0">
                    <a:solidFill>
                      <a:srgbClr val="FF0000"/>
                    </a:solidFill>
                  </a:rPr>
                  <a:t> raitio</a:t>
                </a:r>
                <a:endParaRPr lang="en-US" altLang="en-US" sz="1200">
                  <a:solidFill>
                    <a:srgbClr val="FF0000"/>
                  </a:solidFill>
                </a:endParaRPr>
              </a:p>
            </c:rich>
          </c:tx>
          <c:layout>
            <c:manualLayout>
              <c:xMode val="edge"/>
              <c:yMode val="edge"/>
              <c:x val="0.90347670224071619"/>
              <c:y val="0.30938257782030953"/>
            </c:manualLayout>
          </c:layout>
          <c:overlay val="0"/>
        </c:title>
        <c:numFmt formatCode="0.0_ " sourceLinked="0"/>
        <c:majorTickMark val="cross"/>
        <c:minorTickMark val="out"/>
        <c:tickLblPos val="nextTo"/>
        <c:txPr>
          <a:bodyPr/>
          <a:lstStyle/>
          <a:p>
            <a:pPr>
              <a:defRPr sz="1100"/>
            </a:pPr>
            <a:endParaRPr lang="ja-JP"/>
          </a:p>
        </c:txPr>
        <c:crossAx val="454125976"/>
        <c:crossesAt val="0"/>
        <c:crossBetween val="midCat"/>
        <c:majorUnit val="0.1"/>
      </c:valAx>
    </c:plotArea>
    <c:legend>
      <c:legendPos val="r"/>
      <c:layout>
        <c:manualLayout>
          <c:xMode val="edge"/>
          <c:yMode val="edge"/>
          <c:x val="9.8723148148148143E-2"/>
          <c:y val="0.58883356481481486"/>
          <c:w val="0.22996875"/>
          <c:h val="0.15542407407407408"/>
        </c:manualLayout>
      </c:layout>
      <c:overlay val="0"/>
      <c:spPr>
        <a:solidFill>
          <a:schemeClr val="bg1"/>
        </a:solidFill>
      </c:sp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50">
          <a:latin typeface="+mn-ea"/>
          <a:ea typeface="+mn-ea"/>
        </a:defRPr>
      </a:pPr>
      <a:endParaRPr lang="ja-JP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BPkW_Air!$C$80</c:f>
          <c:strCache>
            <c:ptCount val="1"/>
            <c:pt idx="0">
              <c:v>max LETt norm. wid</c:v>
            </c:pt>
          </c:strCache>
        </c:strRef>
      </c:tx>
      <c:layout>
        <c:manualLayout>
          <c:xMode val="edge"/>
          <c:yMode val="edge"/>
          <c:x val="6.3930378005864263E-2"/>
          <c:y val="5.4887999127866431E-3"/>
        </c:manualLayout>
      </c:layout>
      <c:overlay val="0"/>
      <c:txPr>
        <a:bodyPr/>
        <a:lstStyle/>
        <a:p>
          <a:pPr>
            <a:defRPr sz="1400"/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6.1844212962962962E-2"/>
          <c:y val="5.4289891946211082E-2"/>
          <c:w val="0.8070842592592592"/>
          <c:h val="0.82133726851851852"/>
        </c:manualLayout>
      </c:layout>
      <c:scatterChart>
        <c:scatterStyle val="smoothMarker"/>
        <c:varyColors val="0"/>
        <c:ser>
          <c:idx val="0"/>
          <c:order val="0"/>
          <c:tx>
            <c:strRef>
              <c:f>BPkW_Air!$G$4</c:f>
              <c:strCache>
                <c:ptCount val="1"/>
                <c:pt idx="0">
                  <c:v>40Ar</c:v>
                </c:pt>
              </c:strCache>
            </c:strRef>
          </c:tx>
          <c:spPr>
            <a:ln w="19050" cmpd="sng">
              <a:solidFill>
                <a:srgbClr val="FF0000"/>
              </a:solidFill>
            </a:ln>
          </c:spPr>
          <c:marker>
            <c:symbol val="circle"/>
            <c:size val="3"/>
            <c:spPr>
              <a:solidFill>
                <a:srgbClr val="FF0000"/>
              </a:solidFill>
              <a:ln>
                <a:noFill/>
              </a:ln>
            </c:spPr>
          </c:marker>
          <c:xVal>
            <c:numRef>
              <c:f>BPkW_Air!$M$21:$M$73</c:f>
              <c:numCache>
                <c:formatCode>0.0</c:formatCode>
                <c:ptCount val="53"/>
                <c:pt idx="0">
                  <c:v>8.6199999999999992</c:v>
                </c:pt>
                <c:pt idx="1">
                  <c:v>8.6161469224137921</c:v>
                </c:pt>
                <c:pt idx="2">
                  <c:v>7.8788322363755734</c:v>
                </c:pt>
                <c:pt idx="3">
                  <c:v>6.76275874015748</c:v>
                </c:pt>
                <c:pt idx="4">
                  <c:v>6.0734855813953477</c:v>
                </c:pt>
                <c:pt idx="5">
                  <c:v>5.5223235097119883</c:v>
                </c:pt>
                <c:pt idx="6">
                  <c:v>5.0111206387035274</c:v>
                </c:pt>
                <c:pt idx="7">
                  <c:v>4.4714294438386037</c:v>
                </c:pt>
                <c:pt idx="8">
                  <c:v>3.8439228235294101</c:v>
                </c:pt>
                <c:pt idx="9">
                  <c:v>3.4435377644329197</c:v>
                </c:pt>
                <c:pt idx="10">
                  <c:v>2.9331904365409782</c:v>
                </c:pt>
                <c:pt idx="11">
                  <c:v>2.6802518930599293</c:v>
                </c:pt>
                <c:pt idx="12">
                  <c:v>2.3722192495921695</c:v>
                </c:pt>
                <c:pt idx="13">
                  <c:v>1.9808196084490275</c:v>
                </c:pt>
                <c:pt idx="14">
                  <c:v>1.7311401770145931</c:v>
                </c:pt>
                <c:pt idx="15">
                  <c:v>1.4086017635712356</c:v>
                </c:pt>
                <c:pt idx="16">
                  <c:v>0.9922293217982503</c:v>
                </c:pt>
                <c:pt idx="17">
                  <c:v>0</c:v>
                </c:pt>
                <c:pt idx="18">
                  <c:v>-1.6888391395206046</c:v>
                </c:pt>
                <c:pt idx="19">
                  <c:v>-2.4220264268874487</c:v>
                </c:pt>
                <c:pt idx="20">
                  <c:v>-3.0313297960146333</c:v>
                </c:pt>
                <c:pt idx="21">
                  <c:v>-3.6153881259243672</c:v>
                </c:pt>
                <c:pt idx="22">
                  <c:v>-4.1465159518276007</c:v>
                </c:pt>
                <c:pt idx="23">
                  <c:v>-4.676298846193685</c:v>
                </c:pt>
                <c:pt idx="24">
                  <c:v>-5.2022369673744251</c:v>
                </c:pt>
                <c:pt idx="25">
                  <c:v>-5.7265682534417017</c:v>
                </c:pt>
                <c:pt idx="26">
                  <c:v>-6.2477633106651247</c:v>
                </c:pt>
                <c:pt idx="27">
                  <c:v>-6.7712947717842411</c:v>
                </c:pt>
                <c:pt idx="28">
                  <c:v>-7.8391698005327921</c:v>
                </c:pt>
                <c:pt idx="29">
                  <c:v>-8.9750953784112202</c:v>
                </c:pt>
                <c:pt idx="30">
                  <c:v>-10.161651224709592</c:v>
                </c:pt>
                <c:pt idx="31">
                  <c:v>-11.722262249471912</c:v>
                </c:pt>
                <c:pt idx="32">
                  <c:v>-13.418840435990612</c:v>
                </c:pt>
                <c:pt idx="33">
                  <c:v>-14.983102558001208</c:v>
                </c:pt>
                <c:pt idx="34">
                  <c:v>-16.927169422962542</c:v>
                </c:pt>
                <c:pt idx="35">
                  <c:v>-19.093399109917542</c:v>
                </c:pt>
                <c:pt idx="36">
                  <c:v>-21.531769837193046</c:v>
                </c:pt>
                <c:pt idx="37">
                  <c:v>-24.234175149081231</c:v>
                </c:pt>
                <c:pt idx="38">
                  <c:v>-27.2918868128694</c:v>
                </c:pt>
                <c:pt idx="39">
                  <c:v>-30.70802628514398</c:v>
                </c:pt>
                <c:pt idx="40">
                  <c:v>-34.603479885267035</c:v>
                </c:pt>
                <c:pt idx="41">
                  <c:v>-38.897897874903023</c:v>
                </c:pt>
                <c:pt idx="42">
                  <c:v>-43.840085872663209</c:v>
                </c:pt>
                <c:pt idx="43">
                  <c:v>-58.506829140292787</c:v>
                </c:pt>
                <c:pt idx="44" formatCode="0">
                  <c:v>-77.530918561032848</c:v>
                </c:pt>
                <c:pt idx="45" formatCode="0">
                  <c:v>-102.88870033163811</c:v>
                </c:pt>
                <c:pt idx="46" formatCode="0">
                  <c:v>-137.09150510137317</c:v>
                </c:pt>
                <c:pt idx="47" formatCode="0">
                  <c:v>-184.25064431538783</c:v>
                </c:pt>
                <c:pt idx="48" formatCode="0">
                  <c:v>-255.65472785156669</c:v>
                </c:pt>
                <c:pt idx="49" formatCode="0">
                  <c:v>-379.46682166536056</c:v>
                </c:pt>
                <c:pt idx="50" formatCode="0">
                  <c:v>-672.66623611152977</c:v>
                </c:pt>
                <c:pt idx="51" formatCode="0">
                  <c:v>-1289.892290329436</c:v>
                </c:pt>
                <c:pt idx="52" formatCode="0">
                  <c:v>-3147.782780746973</c:v>
                </c:pt>
              </c:numCache>
            </c:numRef>
          </c:xVal>
          <c:yVal>
            <c:numRef>
              <c:f>BPkW_Air!$F$21:$F$73</c:f>
              <c:numCache>
                <c:formatCode>0.00</c:formatCode>
                <c:ptCount val="53"/>
                <c:pt idx="1">
                  <c:v>0.1</c:v>
                </c:pt>
                <c:pt idx="2">
                  <c:v>0.2</c:v>
                </c:pt>
                <c:pt idx="3">
                  <c:v>0.3</c:v>
                </c:pt>
                <c:pt idx="4">
                  <c:v>0.4</c:v>
                </c:pt>
                <c:pt idx="5">
                  <c:v>0.5</c:v>
                </c:pt>
                <c:pt idx="6">
                  <c:v>0.6</c:v>
                </c:pt>
                <c:pt idx="7">
                  <c:v>0.7</c:v>
                </c:pt>
                <c:pt idx="8">
                  <c:v>0.8</c:v>
                </c:pt>
                <c:pt idx="9">
                  <c:v>0.85</c:v>
                </c:pt>
                <c:pt idx="10">
                  <c:v>0.9</c:v>
                </c:pt>
                <c:pt idx="11">
                  <c:v>0.92</c:v>
                </c:pt>
                <c:pt idx="12">
                  <c:v>0.94</c:v>
                </c:pt>
                <c:pt idx="13">
                  <c:v>0.96</c:v>
                </c:pt>
                <c:pt idx="14">
                  <c:v>0.97</c:v>
                </c:pt>
                <c:pt idx="15">
                  <c:v>0.98</c:v>
                </c:pt>
                <c:pt idx="16">
                  <c:v>0.99</c:v>
                </c:pt>
                <c:pt idx="17" formatCode="0.0">
                  <c:v>1</c:v>
                </c:pt>
                <c:pt idx="18">
                  <c:v>0.99</c:v>
                </c:pt>
                <c:pt idx="19">
                  <c:v>0.98</c:v>
                </c:pt>
                <c:pt idx="20">
                  <c:v>0.97</c:v>
                </c:pt>
                <c:pt idx="21">
                  <c:v>0.96</c:v>
                </c:pt>
                <c:pt idx="22">
                  <c:v>0.95</c:v>
                </c:pt>
                <c:pt idx="23">
                  <c:v>0.94</c:v>
                </c:pt>
                <c:pt idx="24">
                  <c:v>0.92999999999999994</c:v>
                </c:pt>
                <c:pt idx="25">
                  <c:v>0.91999999999999993</c:v>
                </c:pt>
                <c:pt idx="26">
                  <c:v>0.90999999999999992</c:v>
                </c:pt>
                <c:pt idx="27">
                  <c:v>0.89999999999999991</c:v>
                </c:pt>
                <c:pt idx="28">
                  <c:v>0.87999999999999989</c:v>
                </c:pt>
                <c:pt idx="29">
                  <c:v>0.85999999999999988</c:v>
                </c:pt>
                <c:pt idx="30">
                  <c:v>0.83999999999999986</c:v>
                </c:pt>
                <c:pt idx="31">
                  <c:v>0.81999999999999984</c:v>
                </c:pt>
                <c:pt idx="32">
                  <c:v>0.79999999999999982</c:v>
                </c:pt>
                <c:pt idx="33">
                  <c:v>0.7799999999999998</c:v>
                </c:pt>
                <c:pt idx="34">
                  <c:v>0.75999999999999979</c:v>
                </c:pt>
                <c:pt idx="35">
                  <c:v>0.73999999999999977</c:v>
                </c:pt>
                <c:pt idx="36">
                  <c:v>0.71999999999999975</c:v>
                </c:pt>
                <c:pt idx="37">
                  <c:v>0.69999999999999973</c:v>
                </c:pt>
                <c:pt idx="38">
                  <c:v>0.67999999999999972</c:v>
                </c:pt>
                <c:pt idx="39">
                  <c:v>0.6599999999999997</c:v>
                </c:pt>
                <c:pt idx="40">
                  <c:v>0.63999999999999968</c:v>
                </c:pt>
                <c:pt idx="41">
                  <c:v>0.61999999999999966</c:v>
                </c:pt>
                <c:pt idx="42">
                  <c:v>0.59999999999999964</c:v>
                </c:pt>
                <c:pt idx="43">
                  <c:v>0.5499999999999996</c:v>
                </c:pt>
                <c:pt idx="44">
                  <c:v>0.49999999999999961</c:v>
                </c:pt>
                <c:pt idx="45">
                  <c:v>0.44999999999999962</c:v>
                </c:pt>
                <c:pt idx="46">
                  <c:v>0.39999999999999963</c:v>
                </c:pt>
                <c:pt idx="47">
                  <c:v>0.34999999999999964</c:v>
                </c:pt>
                <c:pt idx="48">
                  <c:v>0.29999999999999966</c:v>
                </c:pt>
                <c:pt idx="49">
                  <c:v>0.24999999999999967</c:v>
                </c:pt>
                <c:pt idx="50">
                  <c:v>0.19999999999999968</c:v>
                </c:pt>
                <c:pt idx="51">
                  <c:v>0.14999999999999969</c:v>
                </c:pt>
                <c:pt idx="52">
                  <c:v>9.9999999999999686E-2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BPkW_Air!$Q$4</c:f>
              <c:strCache>
                <c:ptCount val="1"/>
                <c:pt idx="0">
                  <c:v>84Kr</c:v>
                </c:pt>
              </c:strCache>
            </c:strRef>
          </c:tx>
          <c:spPr>
            <a:ln w="19050">
              <a:solidFill>
                <a:srgbClr val="0000FF"/>
              </a:solidFill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noFill/>
              </a:ln>
            </c:spPr>
          </c:marker>
          <c:xVal>
            <c:numRef>
              <c:f>BPkW_Air!$W$21:$W$73</c:f>
              <c:numCache>
                <c:formatCode>0.0</c:formatCode>
                <c:ptCount val="53"/>
                <c:pt idx="0">
                  <c:v>15.26</c:v>
                </c:pt>
                <c:pt idx="1">
                  <c:v>15.253117676567657</c:v>
                </c:pt>
                <c:pt idx="2">
                  <c:v>13.103755597722959</c:v>
                </c:pt>
                <c:pt idx="3">
                  <c:v>11.830168868980962</c:v>
                </c:pt>
                <c:pt idx="4">
                  <c:v>10.95121751574127</c:v>
                </c:pt>
                <c:pt idx="5">
                  <c:v>10.205017039000378</c:v>
                </c:pt>
                <c:pt idx="6">
                  <c:v>9.4563368300926136</c:v>
                </c:pt>
                <c:pt idx="7">
                  <c:v>8.6240784758448612</c:v>
                </c:pt>
                <c:pt idx="8">
                  <c:v>7.5719779669504224</c:v>
                </c:pt>
                <c:pt idx="9">
                  <c:v>6.877228490028493</c:v>
                </c:pt>
                <c:pt idx="10">
                  <c:v>5.9630081880612771</c:v>
                </c:pt>
                <c:pt idx="11">
                  <c:v>5.494731936008213</c:v>
                </c:pt>
                <c:pt idx="12">
                  <c:v>4.9333656034199276</c:v>
                </c:pt>
                <c:pt idx="13">
                  <c:v>4.2205542127659612</c:v>
                </c:pt>
                <c:pt idx="14">
                  <c:v>3.7610662767318548</c:v>
                </c:pt>
                <c:pt idx="15">
                  <c:v>3.1845288750895531</c:v>
                </c:pt>
                <c:pt idx="16">
                  <c:v>2.3058699427304568</c:v>
                </c:pt>
                <c:pt idx="17">
                  <c:v>0</c:v>
                </c:pt>
                <c:pt idx="18">
                  <c:v>-3.2837661590524458</c:v>
                </c:pt>
                <c:pt idx="19">
                  <c:v>-5.1187849677394848</c:v>
                </c:pt>
                <c:pt idx="20">
                  <c:v>-8.1365283442041356</c:v>
                </c:pt>
                <c:pt idx="21">
                  <c:v>-10.406217102182277</c:v>
                </c:pt>
                <c:pt idx="22">
                  <c:v>-13.170958083832309</c:v>
                </c:pt>
                <c:pt idx="23">
                  <c:v>-16.147838207043741</c:v>
                </c:pt>
                <c:pt idx="24">
                  <c:v>-19.238348550162016</c:v>
                </c:pt>
                <c:pt idx="25">
                  <c:v>-22.310457133665771</c:v>
                </c:pt>
                <c:pt idx="26">
                  <c:v>-25.417663974238572</c:v>
                </c:pt>
                <c:pt idx="27">
                  <c:v>-28.422460445793334</c:v>
                </c:pt>
                <c:pt idx="28">
                  <c:v>-34.342433338867686</c:v>
                </c:pt>
                <c:pt idx="29">
                  <c:v>-40.126445437565209</c:v>
                </c:pt>
                <c:pt idx="30">
                  <c:v>-45.883718871181067</c:v>
                </c:pt>
                <c:pt idx="31">
                  <c:v>-51.623725684162572</c:v>
                </c:pt>
                <c:pt idx="32">
                  <c:v>-57.396396831530176</c:v>
                </c:pt>
                <c:pt idx="33">
                  <c:v>-63.349349857201197</c:v>
                </c:pt>
                <c:pt idx="34">
                  <c:v>-69.388723174214689</c:v>
                </c:pt>
                <c:pt idx="35">
                  <c:v>-75.741516932921442</c:v>
                </c:pt>
                <c:pt idx="36">
                  <c:v>-82.229638413118352</c:v>
                </c:pt>
                <c:pt idx="37">
                  <c:v>-89.185500320700328</c:v>
                </c:pt>
                <c:pt idx="38">
                  <c:v>-96.2478107534088</c:v>
                </c:pt>
                <c:pt idx="39">
                  <c:v>-104.05268708382452</c:v>
                </c:pt>
                <c:pt idx="40">
                  <c:v>-112.11134131424041</c:v>
                </c:pt>
                <c:pt idx="41">
                  <c:v>-120.80940749085134</c:v>
                </c:pt>
                <c:pt idx="42">
                  <c:v>-130.27615239893609</c:v>
                </c:pt>
                <c:pt idx="43">
                  <c:v>-157.65936885648776</c:v>
                </c:pt>
                <c:pt idx="44" formatCode="0">
                  <c:v>-193.31199032619153</c:v>
                </c:pt>
                <c:pt idx="45" formatCode="0">
                  <c:v>-245.12395652950261</c:v>
                </c:pt>
                <c:pt idx="46" formatCode="0">
                  <c:v>-335.53968794633653</c:v>
                </c:pt>
                <c:pt idx="47" formatCode="0">
                  <c:v>-470.93016876078559</c:v>
                </c:pt>
                <c:pt idx="48" formatCode="0">
                  <c:v>-670.20673947218677</c:v>
                </c:pt>
                <c:pt idx="49" formatCode="0">
                  <c:v>-1024.1060833910865</c:v>
                </c:pt>
                <c:pt idx="50" formatCode="0">
                  <c:v>-1708.4516283202345</c:v>
                </c:pt>
                <c:pt idx="51" formatCode="0">
                  <c:v>-3388.4477465490249</c:v>
                </c:pt>
                <c:pt idx="52" formatCode="0">
                  <c:v>-9447.4326934216842</c:v>
                </c:pt>
              </c:numCache>
            </c:numRef>
          </c:xVal>
          <c:yVal>
            <c:numRef>
              <c:f>BPkW_Air!$F$21:$F$73</c:f>
              <c:numCache>
                <c:formatCode>0.00</c:formatCode>
                <c:ptCount val="53"/>
                <c:pt idx="1">
                  <c:v>0.1</c:v>
                </c:pt>
                <c:pt idx="2">
                  <c:v>0.2</c:v>
                </c:pt>
                <c:pt idx="3">
                  <c:v>0.3</c:v>
                </c:pt>
                <c:pt idx="4">
                  <c:v>0.4</c:v>
                </c:pt>
                <c:pt idx="5">
                  <c:v>0.5</c:v>
                </c:pt>
                <c:pt idx="6">
                  <c:v>0.6</c:v>
                </c:pt>
                <c:pt idx="7">
                  <c:v>0.7</c:v>
                </c:pt>
                <c:pt idx="8">
                  <c:v>0.8</c:v>
                </c:pt>
                <c:pt idx="9">
                  <c:v>0.85</c:v>
                </c:pt>
                <c:pt idx="10">
                  <c:v>0.9</c:v>
                </c:pt>
                <c:pt idx="11">
                  <c:v>0.92</c:v>
                </c:pt>
                <c:pt idx="12">
                  <c:v>0.94</c:v>
                </c:pt>
                <c:pt idx="13">
                  <c:v>0.96</c:v>
                </c:pt>
                <c:pt idx="14">
                  <c:v>0.97</c:v>
                </c:pt>
                <c:pt idx="15">
                  <c:v>0.98</c:v>
                </c:pt>
                <c:pt idx="16">
                  <c:v>0.99</c:v>
                </c:pt>
                <c:pt idx="17" formatCode="0.0">
                  <c:v>1</c:v>
                </c:pt>
                <c:pt idx="18">
                  <c:v>0.99</c:v>
                </c:pt>
                <c:pt idx="19">
                  <c:v>0.98</c:v>
                </c:pt>
                <c:pt idx="20">
                  <c:v>0.97</c:v>
                </c:pt>
                <c:pt idx="21">
                  <c:v>0.96</c:v>
                </c:pt>
                <c:pt idx="22">
                  <c:v>0.95</c:v>
                </c:pt>
                <c:pt idx="23">
                  <c:v>0.94</c:v>
                </c:pt>
                <c:pt idx="24">
                  <c:v>0.92999999999999994</c:v>
                </c:pt>
                <c:pt idx="25">
                  <c:v>0.91999999999999993</c:v>
                </c:pt>
                <c:pt idx="26">
                  <c:v>0.90999999999999992</c:v>
                </c:pt>
                <c:pt idx="27">
                  <c:v>0.89999999999999991</c:v>
                </c:pt>
                <c:pt idx="28">
                  <c:v>0.87999999999999989</c:v>
                </c:pt>
                <c:pt idx="29">
                  <c:v>0.85999999999999988</c:v>
                </c:pt>
                <c:pt idx="30">
                  <c:v>0.83999999999999986</c:v>
                </c:pt>
                <c:pt idx="31">
                  <c:v>0.81999999999999984</c:v>
                </c:pt>
                <c:pt idx="32">
                  <c:v>0.79999999999999982</c:v>
                </c:pt>
                <c:pt idx="33">
                  <c:v>0.7799999999999998</c:v>
                </c:pt>
                <c:pt idx="34">
                  <c:v>0.75999999999999979</c:v>
                </c:pt>
                <c:pt idx="35">
                  <c:v>0.73999999999999977</c:v>
                </c:pt>
                <c:pt idx="36">
                  <c:v>0.71999999999999975</c:v>
                </c:pt>
                <c:pt idx="37">
                  <c:v>0.69999999999999973</c:v>
                </c:pt>
                <c:pt idx="38">
                  <c:v>0.67999999999999972</c:v>
                </c:pt>
                <c:pt idx="39">
                  <c:v>0.6599999999999997</c:v>
                </c:pt>
                <c:pt idx="40">
                  <c:v>0.63999999999999968</c:v>
                </c:pt>
                <c:pt idx="41">
                  <c:v>0.61999999999999966</c:v>
                </c:pt>
                <c:pt idx="42">
                  <c:v>0.59999999999999964</c:v>
                </c:pt>
                <c:pt idx="43">
                  <c:v>0.5499999999999996</c:v>
                </c:pt>
                <c:pt idx="44">
                  <c:v>0.49999999999999961</c:v>
                </c:pt>
                <c:pt idx="45">
                  <c:v>0.44999999999999962</c:v>
                </c:pt>
                <c:pt idx="46">
                  <c:v>0.39999999999999963</c:v>
                </c:pt>
                <c:pt idx="47">
                  <c:v>0.34999999999999964</c:v>
                </c:pt>
                <c:pt idx="48">
                  <c:v>0.29999999999999966</c:v>
                </c:pt>
                <c:pt idx="49">
                  <c:v>0.24999999999999967</c:v>
                </c:pt>
                <c:pt idx="50">
                  <c:v>0.19999999999999968</c:v>
                </c:pt>
                <c:pt idx="51">
                  <c:v>0.14999999999999969</c:v>
                </c:pt>
                <c:pt idx="52">
                  <c:v>9.9999999999999686E-2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BPkW_Air!$AA$4</c:f>
              <c:strCache>
                <c:ptCount val="1"/>
                <c:pt idx="0">
                  <c:v>132Xe</c:v>
                </c:pt>
              </c:strCache>
            </c:strRef>
          </c:tx>
          <c:spPr>
            <a:ln>
              <a:solidFill>
                <a:srgbClr val="008000"/>
              </a:solidFill>
            </a:ln>
          </c:spPr>
          <c:marker>
            <c:symbol val="circle"/>
            <c:size val="3"/>
            <c:spPr>
              <a:solidFill>
                <a:srgbClr val="008000"/>
              </a:solidFill>
              <a:ln>
                <a:noFill/>
              </a:ln>
            </c:spPr>
          </c:marker>
          <c:xVal>
            <c:numRef>
              <c:f>BPkW_Air!$AG$21:$AG$73</c:f>
              <c:numCache>
                <c:formatCode>0.0</c:formatCode>
                <c:ptCount val="53"/>
                <c:pt idx="0">
                  <c:v>33.869999999999997</c:v>
                </c:pt>
                <c:pt idx="1">
                  <c:v>33.857218595539479</c:v>
                </c:pt>
                <c:pt idx="2">
                  <c:v>31.074405769230765</c:v>
                </c:pt>
                <c:pt idx="3">
                  <c:v>29.477237172774867</c:v>
                </c:pt>
                <c:pt idx="4">
                  <c:v>28.338898850574708</c:v>
                </c:pt>
                <c:pt idx="5">
                  <c:v>27.249813399184021</c:v>
                </c:pt>
                <c:pt idx="6">
                  <c:v>26.047725854044348</c:v>
                </c:pt>
                <c:pt idx="7">
                  <c:v>24.554635341022351</c:v>
                </c:pt>
                <c:pt idx="8">
                  <c:v>22.4651618606309</c:v>
                </c:pt>
                <c:pt idx="9">
                  <c:v>21.015554429170422</c:v>
                </c:pt>
                <c:pt idx="10">
                  <c:v>19.01438216445527</c:v>
                </c:pt>
                <c:pt idx="11">
                  <c:v>17.936059905457654</c:v>
                </c:pt>
                <c:pt idx="12">
                  <c:v>16.521389723320166</c:v>
                </c:pt>
                <c:pt idx="13">
                  <c:v>14.368742170604715</c:v>
                </c:pt>
                <c:pt idx="14">
                  <c:v>12.658260419980913</c:v>
                </c:pt>
                <c:pt idx="15">
                  <c:v>10.343633270380852</c:v>
                </c:pt>
                <c:pt idx="16">
                  <c:v>8.4459360964031163</c:v>
                </c:pt>
                <c:pt idx="17">
                  <c:v>0</c:v>
                </c:pt>
                <c:pt idx="18">
                  <c:v>-10.41237820154781</c:v>
                </c:pt>
                <c:pt idx="19">
                  <c:v>-14.977936522563567</c:v>
                </c:pt>
                <c:pt idx="20">
                  <c:v>-18.865259988126766</c:v>
                </c:pt>
                <c:pt idx="21">
                  <c:v>-22.288887008819366</c:v>
                </c:pt>
                <c:pt idx="22">
                  <c:v>-25.597087409916639</c:v>
                </c:pt>
                <c:pt idx="23">
                  <c:v>-28.645674417986832</c:v>
                </c:pt>
                <c:pt idx="24">
                  <c:v>-31.66799062700597</c:v>
                </c:pt>
                <c:pt idx="25">
                  <c:v>-34.601219336785881</c:v>
                </c:pt>
                <c:pt idx="26">
                  <c:v>-37.528671092012708</c:v>
                </c:pt>
                <c:pt idx="27">
                  <c:v>-40.427629004146901</c:v>
                </c:pt>
                <c:pt idx="28">
                  <c:v>-46.231838516318028</c:v>
                </c:pt>
                <c:pt idx="29">
                  <c:v>-52.089867429505539</c:v>
                </c:pt>
                <c:pt idx="30">
                  <c:v>-58.081070574819954</c:v>
                </c:pt>
                <c:pt idx="31">
                  <c:v>-64.278408906054494</c:v>
                </c:pt>
                <c:pt idx="32">
                  <c:v>-70.735985918532208</c:v>
                </c:pt>
                <c:pt idx="33">
                  <c:v>-77.502728265226324</c:v>
                </c:pt>
                <c:pt idx="34">
                  <c:v>-84.683151321697835</c:v>
                </c:pt>
                <c:pt idx="35">
                  <c:v>-92.441424352605253</c:v>
                </c:pt>
                <c:pt idx="36">
                  <c:v>-100.46306715760829</c:v>
                </c:pt>
                <c:pt idx="37">
                  <c:v>-109.44509165132484</c:v>
                </c:pt>
                <c:pt idx="38">
                  <c:v>-118.51620088611398</c:v>
                </c:pt>
                <c:pt idx="39">
                  <c:v>-129.24868056504067</c:v>
                </c:pt>
                <c:pt idx="40">
                  <c:v>-140.2962775355891</c:v>
                </c:pt>
                <c:pt idx="41">
                  <c:v>-153.22320126538347</c:v>
                </c:pt>
                <c:pt idx="42">
                  <c:v>-167.50167678569056</c:v>
                </c:pt>
                <c:pt idx="43">
                  <c:v>-213.82690938191996</c:v>
                </c:pt>
                <c:pt idx="44" formatCode="0">
                  <c:v>-287.80260387304656</c:v>
                </c:pt>
                <c:pt idx="45" formatCode="0">
                  <c:v>-375.40144924272715</c:v>
                </c:pt>
                <c:pt idx="46" formatCode="0">
                  <c:v>-499.84451268335158</c:v>
                </c:pt>
                <c:pt idx="47" formatCode="0">
                  <c:v>-688.15272043079358</c:v>
                </c:pt>
                <c:pt idx="48" formatCode="0">
                  <c:v>-995.9088311002107</c:v>
                </c:pt>
                <c:pt idx="49" formatCode="0">
                  <c:v>-1540.3962597792524</c:v>
                </c:pt>
                <c:pt idx="50" formatCode="0">
                  <c:v>-2648.0169733213497</c:v>
                </c:pt>
                <c:pt idx="51" formatCode="0">
                  <c:v>-5541.5829423086143</c:v>
                </c:pt>
                <c:pt idx="52" formatCode="0">
                  <c:v>-18247.40201436662</c:v>
                </c:pt>
              </c:numCache>
            </c:numRef>
          </c:xVal>
          <c:yVal>
            <c:numRef>
              <c:f>BPkW_Air!$F$21:$F$73</c:f>
              <c:numCache>
                <c:formatCode>0.00</c:formatCode>
                <c:ptCount val="53"/>
                <c:pt idx="1">
                  <c:v>0.1</c:v>
                </c:pt>
                <c:pt idx="2">
                  <c:v>0.2</c:v>
                </c:pt>
                <c:pt idx="3">
                  <c:v>0.3</c:v>
                </c:pt>
                <c:pt idx="4">
                  <c:v>0.4</c:v>
                </c:pt>
                <c:pt idx="5">
                  <c:v>0.5</c:v>
                </c:pt>
                <c:pt idx="6">
                  <c:v>0.6</c:v>
                </c:pt>
                <c:pt idx="7">
                  <c:v>0.7</c:v>
                </c:pt>
                <c:pt idx="8">
                  <c:v>0.8</c:v>
                </c:pt>
                <c:pt idx="9">
                  <c:v>0.85</c:v>
                </c:pt>
                <c:pt idx="10">
                  <c:v>0.9</c:v>
                </c:pt>
                <c:pt idx="11">
                  <c:v>0.92</c:v>
                </c:pt>
                <c:pt idx="12">
                  <c:v>0.94</c:v>
                </c:pt>
                <c:pt idx="13">
                  <c:v>0.96</c:v>
                </c:pt>
                <c:pt idx="14">
                  <c:v>0.97</c:v>
                </c:pt>
                <c:pt idx="15">
                  <c:v>0.98</c:v>
                </c:pt>
                <c:pt idx="16">
                  <c:v>0.99</c:v>
                </c:pt>
                <c:pt idx="17" formatCode="0.0">
                  <c:v>1</c:v>
                </c:pt>
                <c:pt idx="18">
                  <c:v>0.99</c:v>
                </c:pt>
                <c:pt idx="19">
                  <c:v>0.98</c:v>
                </c:pt>
                <c:pt idx="20">
                  <c:v>0.97</c:v>
                </c:pt>
                <c:pt idx="21">
                  <c:v>0.96</c:v>
                </c:pt>
                <c:pt idx="22">
                  <c:v>0.95</c:v>
                </c:pt>
                <c:pt idx="23">
                  <c:v>0.94</c:v>
                </c:pt>
                <c:pt idx="24">
                  <c:v>0.92999999999999994</c:v>
                </c:pt>
                <c:pt idx="25">
                  <c:v>0.91999999999999993</c:v>
                </c:pt>
                <c:pt idx="26">
                  <c:v>0.90999999999999992</c:v>
                </c:pt>
                <c:pt idx="27">
                  <c:v>0.89999999999999991</c:v>
                </c:pt>
                <c:pt idx="28">
                  <c:v>0.87999999999999989</c:v>
                </c:pt>
                <c:pt idx="29">
                  <c:v>0.85999999999999988</c:v>
                </c:pt>
                <c:pt idx="30">
                  <c:v>0.83999999999999986</c:v>
                </c:pt>
                <c:pt idx="31">
                  <c:v>0.81999999999999984</c:v>
                </c:pt>
                <c:pt idx="32">
                  <c:v>0.79999999999999982</c:v>
                </c:pt>
                <c:pt idx="33">
                  <c:v>0.7799999999999998</c:v>
                </c:pt>
                <c:pt idx="34">
                  <c:v>0.75999999999999979</c:v>
                </c:pt>
                <c:pt idx="35">
                  <c:v>0.73999999999999977</c:v>
                </c:pt>
                <c:pt idx="36">
                  <c:v>0.71999999999999975</c:v>
                </c:pt>
                <c:pt idx="37">
                  <c:v>0.69999999999999973</c:v>
                </c:pt>
                <c:pt idx="38">
                  <c:v>0.67999999999999972</c:v>
                </c:pt>
                <c:pt idx="39">
                  <c:v>0.6599999999999997</c:v>
                </c:pt>
                <c:pt idx="40">
                  <c:v>0.63999999999999968</c:v>
                </c:pt>
                <c:pt idx="41">
                  <c:v>0.61999999999999966</c:v>
                </c:pt>
                <c:pt idx="42">
                  <c:v>0.59999999999999964</c:v>
                </c:pt>
                <c:pt idx="43">
                  <c:v>0.5499999999999996</c:v>
                </c:pt>
                <c:pt idx="44">
                  <c:v>0.49999999999999961</c:v>
                </c:pt>
                <c:pt idx="45">
                  <c:v>0.44999999999999962</c:v>
                </c:pt>
                <c:pt idx="46">
                  <c:v>0.39999999999999963</c:v>
                </c:pt>
                <c:pt idx="47">
                  <c:v>0.34999999999999964</c:v>
                </c:pt>
                <c:pt idx="48">
                  <c:v>0.29999999999999966</c:v>
                </c:pt>
                <c:pt idx="49">
                  <c:v>0.24999999999999967</c:v>
                </c:pt>
                <c:pt idx="50">
                  <c:v>0.19999999999999968</c:v>
                </c:pt>
                <c:pt idx="51">
                  <c:v>0.14999999999999969</c:v>
                </c:pt>
                <c:pt idx="52">
                  <c:v>9.9999999999999686E-2</c:v>
                </c:pt>
              </c:numCache>
            </c:numRef>
          </c:yVal>
          <c:smooth val="0"/>
        </c:ser>
        <c:ser>
          <c:idx val="3"/>
          <c:order val="3"/>
          <c:tx>
            <c:strRef>
              <c:f>BPkW_Air!$AK$4</c:f>
              <c:strCache>
                <c:ptCount val="1"/>
                <c:pt idx="0">
                  <c:v>197Au</c:v>
                </c:pt>
              </c:strCache>
            </c:strRef>
          </c:tx>
          <c:spPr>
            <a:ln>
              <a:solidFill>
                <a:srgbClr val="7030A0"/>
              </a:solidFill>
            </a:ln>
          </c:spPr>
          <c:marker>
            <c:symbol val="circle"/>
            <c:size val="3"/>
            <c:spPr>
              <a:solidFill>
                <a:srgbClr val="7030A0"/>
              </a:solidFill>
              <a:ln>
                <a:noFill/>
              </a:ln>
            </c:spPr>
          </c:marker>
          <c:xVal>
            <c:numRef>
              <c:f>BPkW_Air!$AQ$21:$AQ$73</c:f>
              <c:numCache>
                <c:formatCode>0.0</c:formatCode>
                <c:ptCount val="53"/>
                <c:pt idx="0">
                  <c:v>49.57</c:v>
                </c:pt>
                <c:pt idx="1">
                  <c:v>49.5533424353562</c:v>
                </c:pt>
                <c:pt idx="2">
                  <c:v>44.533448464912283</c:v>
                </c:pt>
                <c:pt idx="3">
                  <c:v>42.273870065359475</c:v>
                </c:pt>
                <c:pt idx="4">
                  <c:v>40.615992058614985</c:v>
                </c:pt>
                <c:pt idx="5">
                  <c:v>39.034429806259311</c:v>
                </c:pt>
                <c:pt idx="6">
                  <c:v>37.334551279690665</c:v>
                </c:pt>
                <c:pt idx="7">
                  <c:v>35.319679279015247</c:v>
                </c:pt>
                <c:pt idx="8">
                  <c:v>32.686633091393865</c:v>
                </c:pt>
                <c:pt idx="9">
                  <c:v>30.888988828967644</c:v>
                </c:pt>
                <c:pt idx="10">
                  <c:v>28.333167719627767</c:v>
                </c:pt>
                <c:pt idx="11">
                  <c:v>26.864422004961334</c:v>
                </c:pt>
                <c:pt idx="12">
                  <c:v>24.800295769048756</c:v>
                </c:pt>
                <c:pt idx="13">
                  <c:v>21.229094675168017</c:v>
                </c:pt>
                <c:pt idx="14">
                  <c:v>19.439187692082545</c:v>
                </c:pt>
                <c:pt idx="15">
                  <c:v>16.871796511939927</c:v>
                </c:pt>
                <c:pt idx="16">
                  <c:v>12.599738693571865</c:v>
                </c:pt>
                <c:pt idx="17">
                  <c:v>0</c:v>
                </c:pt>
                <c:pt idx="18">
                  <c:v>-12.283742090580944</c:v>
                </c:pt>
                <c:pt idx="19">
                  <c:v>-19.020139649816464</c:v>
                </c:pt>
                <c:pt idx="20">
                  <c:v>-24.675118016328305</c:v>
                </c:pt>
                <c:pt idx="21">
                  <c:v>-29.554835481304686</c:v>
                </c:pt>
                <c:pt idx="22">
                  <c:v>-34.141558353613398</c:v>
                </c:pt>
                <c:pt idx="23">
                  <c:v>-38.872855448116589</c:v>
                </c:pt>
                <c:pt idx="24">
                  <c:v>-43.358613984701982</c:v>
                </c:pt>
                <c:pt idx="25">
                  <c:v>-47.8123064672724</c:v>
                </c:pt>
                <c:pt idx="26">
                  <c:v>-52.210055340418741</c:v>
                </c:pt>
                <c:pt idx="27">
                  <c:v>-56.607804213565082</c:v>
                </c:pt>
                <c:pt idx="28">
                  <c:v>-65.583840660675321</c:v>
                </c:pt>
                <c:pt idx="29">
                  <c:v>-74.808937596926825</c:v>
                </c:pt>
                <c:pt idx="30">
                  <c:v>-84.372536968051293</c:v>
                </c:pt>
                <c:pt idx="31">
                  <c:v>-94.393452816790045</c:v>
                </c:pt>
                <c:pt idx="32">
                  <c:v>-105.0432089858096</c:v>
                </c:pt>
                <c:pt idx="33">
                  <c:v>-116.63600682871183</c:v>
                </c:pt>
                <c:pt idx="34">
                  <c:v>-129.14998097814848</c:v>
                </c:pt>
                <c:pt idx="35">
                  <c:v>-142.9206774967586</c:v>
                </c:pt>
                <c:pt idx="36">
                  <c:v>-158.844491497684</c:v>
                </c:pt>
                <c:pt idx="37">
                  <c:v>-175.76706344814519</c:v>
                </c:pt>
                <c:pt idx="38">
                  <c:v>-195.60787450515585</c:v>
                </c:pt>
                <c:pt idx="39">
                  <c:v>-219.10663543529637</c:v>
                </c:pt>
                <c:pt idx="40">
                  <c:v>-246.36367309869132</c:v>
                </c:pt>
                <c:pt idx="41">
                  <c:v>-275.60825399808715</c:v>
                </c:pt>
                <c:pt idx="42">
                  <c:v>-306.08117438945652</c:v>
                </c:pt>
                <c:pt idx="43">
                  <c:v>-397.62995943071235</c:v>
                </c:pt>
                <c:pt idx="44" formatCode="0">
                  <c:v>-522.52721614341499</c:v>
                </c:pt>
                <c:pt idx="45" formatCode="0">
                  <c:v>-693.63759782107479</c:v>
                </c:pt>
                <c:pt idx="46" formatCode="0">
                  <c:v>-943.23366915737518</c:v>
                </c:pt>
                <c:pt idx="47" formatCode="0">
                  <c:v>-1324.8174395833526</c:v>
                </c:pt>
                <c:pt idx="48" formatCode="0">
                  <c:v>-1977.6134275422144</c:v>
                </c:pt>
                <c:pt idx="49" formatCode="0">
                  <c:v>-3178.0200083850609</c:v>
                </c:pt>
                <c:pt idx="50" formatCode="0">
                  <c:v>-5880.9354757493229</c:v>
                </c:pt>
                <c:pt idx="51" formatCode="0">
                  <c:v>-14525.22248329224</c:v>
                </c:pt>
              </c:numCache>
            </c:numRef>
          </c:xVal>
          <c:yVal>
            <c:numRef>
              <c:f>BPkW_Air!$F$21:$F$73</c:f>
              <c:numCache>
                <c:formatCode>0.00</c:formatCode>
                <c:ptCount val="53"/>
                <c:pt idx="1">
                  <c:v>0.1</c:v>
                </c:pt>
                <c:pt idx="2">
                  <c:v>0.2</c:v>
                </c:pt>
                <c:pt idx="3">
                  <c:v>0.3</c:v>
                </c:pt>
                <c:pt idx="4">
                  <c:v>0.4</c:v>
                </c:pt>
                <c:pt idx="5">
                  <c:v>0.5</c:v>
                </c:pt>
                <c:pt idx="6">
                  <c:v>0.6</c:v>
                </c:pt>
                <c:pt idx="7">
                  <c:v>0.7</c:v>
                </c:pt>
                <c:pt idx="8">
                  <c:v>0.8</c:v>
                </c:pt>
                <c:pt idx="9">
                  <c:v>0.85</c:v>
                </c:pt>
                <c:pt idx="10">
                  <c:v>0.9</c:v>
                </c:pt>
                <c:pt idx="11">
                  <c:v>0.92</c:v>
                </c:pt>
                <c:pt idx="12">
                  <c:v>0.94</c:v>
                </c:pt>
                <c:pt idx="13">
                  <c:v>0.96</c:v>
                </c:pt>
                <c:pt idx="14">
                  <c:v>0.97</c:v>
                </c:pt>
                <c:pt idx="15">
                  <c:v>0.98</c:v>
                </c:pt>
                <c:pt idx="16">
                  <c:v>0.99</c:v>
                </c:pt>
                <c:pt idx="17" formatCode="0.0">
                  <c:v>1</c:v>
                </c:pt>
                <c:pt idx="18">
                  <c:v>0.99</c:v>
                </c:pt>
                <c:pt idx="19">
                  <c:v>0.98</c:v>
                </c:pt>
                <c:pt idx="20">
                  <c:v>0.97</c:v>
                </c:pt>
                <c:pt idx="21">
                  <c:v>0.96</c:v>
                </c:pt>
                <c:pt idx="22">
                  <c:v>0.95</c:v>
                </c:pt>
                <c:pt idx="23">
                  <c:v>0.94</c:v>
                </c:pt>
                <c:pt idx="24">
                  <c:v>0.92999999999999994</c:v>
                </c:pt>
                <c:pt idx="25">
                  <c:v>0.91999999999999993</c:v>
                </c:pt>
                <c:pt idx="26">
                  <c:v>0.90999999999999992</c:v>
                </c:pt>
                <c:pt idx="27">
                  <c:v>0.89999999999999991</c:v>
                </c:pt>
                <c:pt idx="28">
                  <c:v>0.87999999999999989</c:v>
                </c:pt>
                <c:pt idx="29">
                  <c:v>0.85999999999999988</c:v>
                </c:pt>
                <c:pt idx="30">
                  <c:v>0.83999999999999986</c:v>
                </c:pt>
                <c:pt idx="31">
                  <c:v>0.81999999999999984</c:v>
                </c:pt>
                <c:pt idx="32">
                  <c:v>0.79999999999999982</c:v>
                </c:pt>
                <c:pt idx="33">
                  <c:v>0.7799999999999998</c:v>
                </c:pt>
                <c:pt idx="34">
                  <c:v>0.75999999999999979</c:v>
                </c:pt>
                <c:pt idx="35">
                  <c:v>0.73999999999999977</c:v>
                </c:pt>
                <c:pt idx="36">
                  <c:v>0.71999999999999975</c:v>
                </c:pt>
                <c:pt idx="37">
                  <c:v>0.69999999999999973</c:v>
                </c:pt>
                <c:pt idx="38">
                  <c:v>0.67999999999999972</c:v>
                </c:pt>
                <c:pt idx="39">
                  <c:v>0.6599999999999997</c:v>
                </c:pt>
                <c:pt idx="40">
                  <c:v>0.63999999999999968</c:v>
                </c:pt>
                <c:pt idx="41">
                  <c:v>0.61999999999999966</c:v>
                </c:pt>
                <c:pt idx="42">
                  <c:v>0.59999999999999964</c:v>
                </c:pt>
                <c:pt idx="43">
                  <c:v>0.5499999999999996</c:v>
                </c:pt>
                <c:pt idx="44">
                  <c:v>0.49999999999999961</c:v>
                </c:pt>
                <c:pt idx="45">
                  <c:v>0.44999999999999962</c:v>
                </c:pt>
                <c:pt idx="46">
                  <c:v>0.39999999999999963</c:v>
                </c:pt>
                <c:pt idx="47">
                  <c:v>0.34999999999999964</c:v>
                </c:pt>
                <c:pt idx="48">
                  <c:v>0.29999999999999966</c:v>
                </c:pt>
                <c:pt idx="49">
                  <c:v>0.24999999999999967</c:v>
                </c:pt>
                <c:pt idx="50">
                  <c:v>0.19999999999999968</c:v>
                </c:pt>
                <c:pt idx="51">
                  <c:v>0.14999999999999969</c:v>
                </c:pt>
                <c:pt idx="52">
                  <c:v>9.9999999999999686E-2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4124016"/>
        <c:axId val="454121272"/>
      </c:scatterChart>
      <c:valAx>
        <c:axId val="454124016"/>
        <c:scaling>
          <c:orientation val="minMax"/>
          <c:max val="50"/>
          <c:min val="-100"/>
        </c:scaling>
        <c:delete val="0"/>
        <c:axPos val="b"/>
        <c:majorGridlines>
          <c:spPr>
            <a:ln>
              <a:solidFill>
                <a:schemeClr val="tx2">
                  <a:lumMod val="40000"/>
                  <a:lumOff val="60000"/>
                </a:schemeClr>
              </a:solidFill>
              <a:prstDash val="dash"/>
            </a:ln>
          </c:spPr>
        </c:majorGridlines>
        <c:title>
          <c:tx>
            <c:strRef>
              <c:f>BPkW_Air!$C$86</c:f>
              <c:strCache>
                <c:ptCount val="1"/>
                <c:pt idx="0">
                  <c:v>Al EDeg Thick [μm] </c:v>
                </c:pt>
              </c:strCache>
            </c:strRef>
          </c:tx>
          <c:layout>
            <c:manualLayout>
              <c:xMode val="edge"/>
              <c:yMode val="edge"/>
              <c:x val="0.42633060954709501"/>
              <c:y val="0.94293028279915614"/>
            </c:manualLayout>
          </c:layout>
          <c:overlay val="0"/>
          <c:spPr>
            <a:solidFill>
              <a:schemeClr val="bg1"/>
            </a:solidFill>
          </c:spPr>
          <c:txPr>
            <a:bodyPr/>
            <a:lstStyle/>
            <a:p>
              <a:pPr>
                <a:defRPr sz="1200">
                  <a:solidFill>
                    <a:schemeClr val="tx1"/>
                  </a:solidFill>
                </a:defRPr>
              </a:pPr>
              <a:endParaRPr lang="ja-JP"/>
            </a:p>
          </c:txPr>
        </c:title>
        <c:numFmt formatCode="0_ " sourceLinked="0"/>
        <c:majorTickMark val="cross"/>
        <c:minorTickMark val="out"/>
        <c:tickLblPos val="nextTo"/>
        <c:txPr>
          <a:bodyPr/>
          <a:lstStyle/>
          <a:p>
            <a:pPr>
              <a:defRPr sz="1100">
                <a:latin typeface="+mn-ea"/>
                <a:ea typeface="+mn-ea"/>
              </a:defRPr>
            </a:pPr>
            <a:endParaRPr lang="ja-JP"/>
          </a:p>
        </c:txPr>
        <c:crossAx val="454121272"/>
        <c:crosses val="autoZero"/>
        <c:crossBetween val="midCat"/>
        <c:majorUnit val="20"/>
        <c:minorUnit val="5"/>
      </c:valAx>
      <c:valAx>
        <c:axId val="454121272"/>
        <c:scaling>
          <c:orientation val="minMax"/>
          <c:max val="1"/>
          <c:min val="0.5"/>
        </c:scaling>
        <c:delete val="0"/>
        <c:axPos val="l"/>
        <c:majorGridlines>
          <c:spPr>
            <a:ln>
              <a:solidFill>
                <a:schemeClr val="tx2">
                  <a:lumMod val="40000"/>
                  <a:lumOff val="60000"/>
                </a:schemeClr>
              </a:solidFill>
              <a:prstDash val="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altLang="en-US" sz="1200"/>
                  <a:t>max LETt </a:t>
                </a:r>
                <a:r>
                  <a:rPr lang="en-US" altLang="en-US" sz="1200">
                    <a:solidFill>
                      <a:srgbClr val="FF0000"/>
                    </a:solidFill>
                  </a:rPr>
                  <a:t> ratio</a:t>
                </a:r>
              </a:p>
            </c:rich>
          </c:tx>
          <c:layout>
            <c:manualLayout>
              <c:xMode val="edge"/>
              <c:yMode val="edge"/>
              <c:x val="0.89158051742189826"/>
              <c:y val="0.33336161186773761"/>
            </c:manualLayout>
          </c:layout>
          <c:overlay val="0"/>
        </c:title>
        <c:numFmt formatCode="0.0_ " sourceLinked="0"/>
        <c:majorTickMark val="cross"/>
        <c:minorTickMark val="out"/>
        <c:tickLblPos val="nextTo"/>
        <c:txPr>
          <a:bodyPr/>
          <a:lstStyle/>
          <a:p>
            <a:pPr>
              <a:defRPr sz="1100"/>
            </a:pPr>
            <a:endParaRPr lang="ja-JP"/>
          </a:p>
        </c:txPr>
        <c:crossAx val="454124016"/>
        <c:crossesAt val="0"/>
        <c:crossBetween val="midCat"/>
        <c:majorUnit val="0.1"/>
      </c:valAx>
    </c:plotArea>
    <c:legend>
      <c:legendPos val="r"/>
      <c:layout>
        <c:manualLayout>
          <c:xMode val="edge"/>
          <c:yMode val="edge"/>
          <c:x val="9.8723148148148143E-2"/>
          <c:y val="0.58883356481481486"/>
          <c:w val="0.22996875"/>
          <c:h val="0.15542407407407408"/>
        </c:manualLayout>
      </c:layout>
      <c:overlay val="0"/>
      <c:spPr>
        <a:solidFill>
          <a:schemeClr val="bg1"/>
        </a:solidFill>
      </c:sp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50">
          <a:latin typeface="+mn-ea"/>
          <a:ea typeface="+mn-ea"/>
        </a:defRPr>
      </a:pPr>
      <a:endParaRPr lang="ja-JP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BPkW_Air!$C$79</c:f>
          <c:strCache>
            <c:ptCount val="1"/>
            <c:pt idx="0">
              <c:v>LETt wid. in Air</c:v>
            </c:pt>
          </c:strCache>
        </c:strRef>
      </c:tx>
      <c:layout>
        <c:manualLayout>
          <c:xMode val="edge"/>
          <c:yMode val="edge"/>
          <c:x val="7.8675819879885561E-2"/>
          <c:y val="6.9191830745774743E-2"/>
        </c:manualLayout>
      </c:layout>
      <c:overlay val="0"/>
      <c:txPr>
        <a:bodyPr/>
        <a:lstStyle/>
        <a:p>
          <a:pPr>
            <a:defRPr sz="1400"/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6.1844212962962962E-2"/>
          <c:y val="5.4289891946211082E-2"/>
          <c:w val="0.8070842592592592"/>
          <c:h val="0.84191597222222236"/>
        </c:manualLayout>
      </c:layout>
      <c:scatterChart>
        <c:scatterStyle val="smoothMarker"/>
        <c:varyColors val="0"/>
        <c:ser>
          <c:idx val="0"/>
          <c:order val="0"/>
          <c:tx>
            <c:strRef>
              <c:f>BPkW_Air!$G$4</c:f>
              <c:strCache>
                <c:ptCount val="1"/>
                <c:pt idx="0">
                  <c:v>40Ar</c:v>
                </c:pt>
              </c:strCache>
            </c:strRef>
          </c:tx>
          <c:spPr>
            <a:ln w="19050">
              <a:solidFill>
                <a:srgbClr val="FF0000"/>
              </a:solidFill>
            </a:ln>
          </c:spPr>
          <c:marker>
            <c:symbol val="circle"/>
            <c:size val="3"/>
            <c:spPr>
              <a:noFill/>
              <a:ln>
                <a:solidFill>
                  <a:srgbClr val="FF0000"/>
                </a:solidFill>
              </a:ln>
            </c:spPr>
          </c:marker>
          <c:xVal>
            <c:numRef>
              <c:f>BPkW_Air!$J$21:$J$73</c:f>
              <c:numCache>
                <c:formatCode>0.0</c:formatCode>
                <c:ptCount val="53"/>
                <c:pt idx="0">
                  <c:v>0</c:v>
                </c:pt>
                <c:pt idx="1">
                  <c:v>7.2920591588318592E-3</c:v>
                </c:pt>
                <c:pt idx="2">
                  <c:v>1.5690773953078005</c:v>
                </c:pt>
                <c:pt idx="3">
                  <c:v>3.9788848620165136</c:v>
                </c:pt>
                <c:pt idx="4">
                  <c:v>5.4087107707779936</c:v>
                </c:pt>
                <c:pt idx="5">
                  <c:v>6.4485476364745864</c:v>
                </c:pt>
                <c:pt idx="6">
                  <c:v>7.3227335299448866</c:v>
                </c:pt>
                <c:pt idx="7">
                  <c:v>8.1961998242408267</c:v>
                </c:pt>
                <c:pt idx="8">
                  <c:v>9.1752106441489456</c:v>
                </c:pt>
                <c:pt idx="9">
                  <c:v>9.777321666118036</c:v>
                </c:pt>
                <c:pt idx="10">
                  <c:v>10.539519772838647</c:v>
                </c:pt>
                <c:pt idx="11">
                  <c:v>10.925494042990149</c:v>
                </c:pt>
                <c:pt idx="12">
                  <c:v>11.388427886758096</c:v>
                </c:pt>
                <c:pt idx="13">
                  <c:v>11.988721710212012</c:v>
                </c:pt>
                <c:pt idx="14">
                  <c:v>12.372544933130301</c:v>
                </c:pt>
                <c:pt idx="15">
                  <c:v>12.871847319980112</c:v>
                </c:pt>
                <c:pt idx="16">
                  <c:v>13.519539956190657</c:v>
                </c:pt>
                <c:pt idx="17">
                  <c:v>15.086664524830621</c:v>
                </c:pt>
                <c:pt idx="18">
                  <c:v>17.875731420570347</c:v>
                </c:pt>
                <c:pt idx="19">
                  <c:v>19.117036328816887</c:v>
                </c:pt>
                <c:pt idx="20">
                  <c:v>20.168378731795553</c:v>
                </c:pt>
                <c:pt idx="21">
                  <c:v>21.180762899538436</c:v>
                </c:pt>
                <c:pt idx="22">
                  <c:v>22.115516701259555</c:v>
                </c:pt>
                <c:pt idx="23">
                  <c:v>23.051019870472768</c:v>
                </c:pt>
                <c:pt idx="24">
                  <c:v>23.98866526623064</c:v>
                </c:pt>
                <c:pt idx="25">
                  <c:v>24.933778821675336</c:v>
                </c:pt>
                <c:pt idx="26">
                  <c:v>25.89346876870141</c:v>
                </c:pt>
                <c:pt idx="27">
                  <c:v>26.860113256563594</c:v>
                </c:pt>
                <c:pt idx="28">
                  <c:v>28.848068032938212</c:v>
                </c:pt>
                <c:pt idx="29">
                  <c:v>31.003531174874855</c:v>
                </c:pt>
                <c:pt idx="30">
                  <c:v>33.282942211054504</c:v>
                </c:pt>
                <c:pt idx="31">
                  <c:v>36.309480566242492</c:v>
                </c:pt>
                <c:pt idx="32">
                  <c:v>39.621463488240131</c:v>
                </c:pt>
                <c:pt idx="33">
                  <c:v>42.687546090981648</c:v>
                </c:pt>
                <c:pt idx="34">
                  <c:v>46.526636138904607</c:v>
                </c:pt>
                <c:pt idx="35">
                  <c:v>50.807584422928329</c:v>
                </c:pt>
                <c:pt idx="36">
                  <c:v>55.657676960250789</c:v>
                </c:pt>
                <c:pt idx="37">
                  <c:v>61.049565392334657</c:v>
                </c:pt>
                <c:pt idx="38">
                  <c:v>67.134510171486724</c:v>
                </c:pt>
                <c:pt idx="39">
                  <c:v>73.933481171274536</c:v>
                </c:pt>
                <c:pt idx="40">
                  <c:v>81.682193676625587</c:v>
                </c:pt>
                <c:pt idx="41">
                  <c:v>90.184624725413329</c:v>
                </c:pt>
                <c:pt idx="42">
                  <c:v>99.956726574578468</c:v>
                </c:pt>
                <c:pt idx="43">
                  <c:v>128.8043480203938</c:v>
                </c:pt>
                <c:pt idx="44" formatCode="0">
                  <c:v>165.90912181238284</c:v>
                </c:pt>
                <c:pt idx="45" formatCode="0">
                  <c:v>215.1807272821269</c:v>
                </c:pt>
                <c:pt idx="46" formatCode="0">
                  <c:v>281.75551091719723</c:v>
                </c:pt>
                <c:pt idx="47" formatCode="0">
                  <c:v>374.20516476773923</c:v>
                </c:pt>
                <c:pt idx="48" formatCode="0">
                  <c:v>516.05775521183978</c:v>
                </c:pt>
                <c:pt idx="49" formatCode="0">
                  <c:v>765.3416220530363</c:v>
                </c:pt>
                <c:pt idx="50" formatCode="0">
                  <c:v>1349.5370561034883</c:v>
                </c:pt>
                <c:pt idx="51" formatCode="0">
                  <c:v>2580.9331584389402</c:v>
                </c:pt>
                <c:pt idx="52" formatCode="0">
                  <c:v>6310.0067556530521</c:v>
                </c:pt>
              </c:numCache>
            </c:numRef>
          </c:xVal>
          <c:yVal>
            <c:numRef>
              <c:f>BPkW_Air!$G$21:$G$73</c:f>
              <c:numCache>
                <c:formatCode>0.00</c:formatCode>
                <c:ptCount val="53"/>
                <c:pt idx="0" formatCode="0.0">
                  <c:v>0</c:v>
                </c:pt>
                <c:pt idx="1">
                  <c:v>2.5138280000000002</c:v>
                </c:pt>
                <c:pt idx="2">
                  <c:v>5.0276560000000003</c:v>
                </c:pt>
                <c:pt idx="3">
                  <c:v>7.5414839999999987</c:v>
                </c:pt>
                <c:pt idx="4">
                  <c:v>10.055312000000001</c:v>
                </c:pt>
                <c:pt idx="5">
                  <c:v>12.569139999999999</c:v>
                </c:pt>
                <c:pt idx="6">
                  <c:v>15.082967999999997</c:v>
                </c:pt>
                <c:pt idx="7">
                  <c:v>17.596795999999998</c:v>
                </c:pt>
                <c:pt idx="8">
                  <c:v>20.110624000000001</c:v>
                </c:pt>
                <c:pt idx="9">
                  <c:v>21.367537999999996</c:v>
                </c:pt>
                <c:pt idx="10">
                  <c:v>22.624451999999998</c:v>
                </c:pt>
                <c:pt idx="11">
                  <c:v>23.127217599999998</c:v>
                </c:pt>
                <c:pt idx="12">
                  <c:v>23.629983199999998</c:v>
                </c:pt>
                <c:pt idx="13">
                  <c:v>24.132748799999998</c:v>
                </c:pt>
                <c:pt idx="14">
                  <c:v>24.384131599999996</c:v>
                </c:pt>
                <c:pt idx="15">
                  <c:v>24.635514399999998</c:v>
                </c:pt>
                <c:pt idx="16">
                  <c:v>24.886897199999996</c:v>
                </c:pt>
                <c:pt idx="17">
                  <c:v>25.138279999999998</c:v>
                </c:pt>
                <c:pt idx="18">
                  <c:v>24.886897199999996</c:v>
                </c:pt>
                <c:pt idx="19">
                  <c:v>24.635514399999998</c:v>
                </c:pt>
                <c:pt idx="20">
                  <c:v>24.384131599999996</c:v>
                </c:pt>
                <c:pt idx="21">
                  <c:v>24.132748799999998</c:v>
                </c:pt>
                <c:pt idx="22">
                  <c:v>23.881365999999996</c:v>
                </c:pt>
                <c:pt idx="23">
                  <c:v>23.629983199999998</c:v>
                </c:pt>
                <c:pt idx="24">
                  <c:v>23.378600399999996</c:v>
                </c:pt>
                <c:pt idx="25">
                  <c:v>23.127217599999998</c:v>
                </c:pt>
                <c:pt idx="26">
                  <c:v>22.875834799999996</c:v>
                </c:pt>
                <c:pt idx="27">
                  <c:v>22.624451999999994</c:v>
                </c:pt>
                <c:pt idx="28">
                  <c:v>22.121686399999994</c:v>
                </c:pt>
                <c:pt idx="29">
                  <c:v>21.618920799999994</c:v>
                </c:pt>
                <c:pt idx="30">
                  <c:v>21.116155199999994</c:v>
                </c:pt>
                <c:pt idx="31">
                  <c:v>20.613389599999994</c:v>
                </c:pt>
                <c:pt idx="32">
                  <c:v>20.110623999999994</c:v>
                </c:pt>
                <c:pt idx="33">
                  <c:v>19.607858399999994</c:v>
                </c:pt>
                <c:pt idx="34">
                  <c:v>19.105092799999994</c:v>
                </c:pt>
                <c:pt idx="35">
                  <c:v>18.602327199999994</c:v>
                </c:pt>
                <c:pt idx="36">
                  <c:v>18.099561599999994</c:v>
                </c:pt>
                <c:pt idx="37">
                  <c:v>17.596795999999991</c:v>
                </c:pt>
                <c:pt idx="38">
                  <c:v>17.094030399999991</c:v>
                </c:pt>
                <c:pt idx="39">
                  <c:v>16.59126479999999</c:v>
                </c:pt>
                <c:pt idx="40">
                  <c:v>16.08849919999999</c:v>
                </c:pt>
                <c:pt idx="41">
                  <c:v>15.58573359999999</c:v>
                </c:pt>
                <c:pt idx="42">
                  <c:v>15.08296799999999</c:v>
                </c:pt>
                <c:pt idx="43">
                  <c:v>13.826053999999989</c:v>
                </c:pt>
                <c:pt idx="44">
                  <c:v>12.56913999999999</c:v>
                </c:pt>
                <c:pt idx="45">
                  <c:v>11.31222599999999</c:v>
                </c:pt>
                <c:pt idx="46">
                  <c:v>10.05531199999999</c:v>
                </c:pt>
                <c:pt idx="47">
                  <c:v>8.7983979999999899</c:v>
                </c:pt>
                <c:pt idx="48">
                  <c:v>7.5414839999999908</c:v>
                </c:pt>
                <c:pt idx="49">
                  <c:v>6.2845699999999916</c:v>
                </c:pt>
                <c:pt idx="50">
                  <c:v>5.0276559999999915</c:v>
                </c:pt>
                <c:pt idx="51">
                  <c:v>3.7707419999999918</c:v>
                </c:pt>
                <c:pt idx="52">
                  <c:v>2.5138279999999917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BPkW_Air!$Q$4</c:f>
              <c:strCache>
                <c:ptCount val="1"/>
                <c:pt idx="0">
                  <c:v>84Kr</c:v>
                </c:pt>
              </c:strCache>
            </c:strRef>
          </c:tx>
          <c:spPr>
            <a:ln w="19050">
              <a:solidFill>
                <a:srgbClr val="0000FF"/>
              </a:solidFill>
            </a:ln>
          </c:spPr>
          <c:marker>
            <c:symbol val="none"/>
          </c:marker>
          <c:xVal>
            <c:numRef>
              <c:f>BPkW_Air!$T$21:$T$73</c:f>
              <c:numCache>
                <c:formatCode>0.0</c:formatCode>
                <c:ptCount val="53"/>
                <c:pt idx="0">
                  <c:v>0</c:v>
                </c:pt>
                <c:pt idx="1">
                  <c:v>1.3735984188680684E-2</c:v>
                </c:pt>
                <c:pt idx="2">
                  <c:v>4.7681196091941525</c:v>
                </c:pt>
                <c:pt idx="3">
                  <c:v>7.6068338712630288</c:v>
                </c:pt>
                <c:pt idx="4">
                  <c:v>9.3448381673649461</c:v>
                </c:pt>
                <c:pt idx="5">
                  <c:v>10.714757727776007</c:v>
                </c:pt>
                <c:pt idx="6">
                  <c:v>11.975008232947349</c:v>
                </c:pt>
                <c:pt idx="7">
                  <c:v>13.312662364547307</c:v>
                </c:pt>
                <c:pt idx="8">
                  <c:v>14.972818841898331</c:v>
                </c:pt>
                <c:pt idx="9">
                  <c:v>16.051212721579311</c:v>
                </c:pt>
                <c:pt idx="10">
                  <c:v>17.493600262704184</c:v>
                </c:pt>
                <c:pt idx="11">
                  <c:v>18.241867199889832</c:v>
                </c:pt>
                <c:pt idx="12">
                  <c:v>19.139471021105102</c:v>
                </c:pt>
                <c:pt idx="13">
                  <c:v>20.295824138228458</c:v>
                </c:pt>
                <c:pt idx="14">
                  <c:v>21.055736023141769</c:v>
                </c:pt>
                <c:pt idx="15">
                  <c:v>22.003712155859578</c:v>
                </c:pt>
                <c:pt idx="16">
                  <c:v>23.471837801815319</c:v>
                </c:pt>
                <c:pt idx="17">
                  <c:v>27.457119050922348</c:v>
                </c:pt>
                <c:pt idx="18">
                  <c:v>33.429228907769179</c:v>
                </c:pt>
                <c:pt idx="19">
                  <c:v>36.902950925293709</c:v>
                </c:pt>
                <c:pt idx="20">
                  <c:v>42.750918945497183</c:v>
                </c:pt>
                <c:pt idx="21">
                  <c:v>47.197815945400876</c:v>
                </c:pt>
                <c:pt idx="22">
                  <c:v>52.659828889081993</c:v>
                </c:pt>
                <c:pt idx="23">
                  <c:v>58.569311663379786</c:v>
                </c:pt>
                <c:pt idx="24">
                  <c:v>64.734709233655863</c:v>
                </c:pt>
                <c:pt idx="25">
                  <c:v>70.849166255400419</c:v>
                </c:pt>
                <c:pt idx="26">
                  <c:v>77.029714746493966</c:v>
                </c:pt>
                <c:pt idx="27">
                  <c:v>83.002680010839086</c:v>
                </c:pt>
                <c:pt idx="28">
                  <c:v>94.699539685982899</c:v>
                </c:pt>
                <c:pt idx="29">
                  <c:v>106.08552607711789</c:v>
                </c:pt>
                <c:pt idx="30">
                  <c:v>117.36009179620864</c:v>
                </c:pt>
                <c:pt idx="31">
                  <c:v>128.57057467484609</c:v>
                </c:pt>
                <c:pt idx="32">
                  <c:v>139.81059348848396</c:v>
                </c:pt>
                <c:pt idx="33">
                  <c:v>151.37615130245135</c:v>
                </c:pt>
                <c:pt idx="34">
                  <c:v>163.10733771783683</c:v>
                </c:pt>
                <c:pt idx="35">
                  <c:v>175.45620390803541</c:v>
                </c:pt>
                <c:pt idx="36">
                  <c:v>188.07176998572189</c:v>
                </c:pt>
                <c:pt idx="37">
                  <c:v>201.60871808821855</c:v>
                </c:pt>
                <c:pt idx="38">
                  <c:v>215.3556260570779</c:v>
                </c:pt>
                <c:pt idx="39">
                  <c:v>230.60932172640082</c:v>
                </c:pt>
                <c:pt idx="40">
                  <c:v>246.38407920749754</c:v>
                </c:pt>
                <c:pt idx="41">
                  <c:v>263.47168996365878</c:v>
                </c:pt>
                <c:pt idx="42">
                  <c:v>282.13494813583372</c:v>
                </c:pt>
                <c:pt idx="43">
                  <c:v>336.4576221760139</c:v>
                </c:pt>
                <c:pt idx="44">
                  <c:v>407.86876212569496</c:v>
                </c:pt>
                <c:pt idx="45">
                  <c:v>512.40356201145858</c:v>
                </c:pt>
                <c:pt idx="46">
                  <c:v>694.31944814366693</c:v>
                </c:pt>
                <c:pt idx="47">
                  <c:v>963.5412826313476</c:v>
                </c:pt>
                <c:pt idx="48">
                  <c:v>1362.3546332047301</c:v>
                </c:pt>
                <c:pt idx="49">
                  <c:v>2060.6734504539113</c:v>
                </c:pt>
                <c:pt idx="50">
                  <c:v>#N/A</c:v>
                </c:pt>
                <c:pt idx="51">
                  <c:v>#N/A</c:v>
                </c:pt>
                <c:pt idx="52">
                  <c:v>#N/A</c:v>
                </c:pt>
              </c:numCache>
            </c:numRef>
          </c:xVal>
          <c:yVal>
            <c:numRef>
              <c:f>BPkW_Air!$Q$21:$Q$73</c:f>
              <c:numCache>
                <c:formatCode>0.00</c:formatCode>
                <c:ptCount val="53"/>
                <c:pt idx="0" formatCode="0.0">
                  <c:v>0</c:v>
                </c:pt>
                <c:pt idx="1">
                  <c:v>4.8532800000000007</c:v>
                </c:pt>
                <c:pt idx="2">
                  <c:v>9.7065600000000014</c:v>
                </c:pt>
                <c:pt idx="3">
                  <c:v>14.559839999999999</c:v>
                </c:pt>
                <c:pt idx="4">
                  <c:v>19.413120000000003</c:v>
                </c:pt>
                <c:pt idx="5">
                  <c:v>24.266400000000001</c:v>
                </c:pt>
                <c:pt idx="6">
                  <c:v>29.119679999999999</c:v>
                </c:pt>
                <c:pt idx="7">
                  <c:v>33.97296</c:v>
                </c:pt>
                <c:pt idx="8">
                  <c:v>38.826240000000006</c:v>
                </c:pt>
                <c:pt idx="9">
                  <c:v>41.252879999999998</c:v>
                </c:pt>
                <c:pt idx="10">
                  <c:v>43.679520000000004</c:v>
                </c:pt>
                <c:pt idx="11">
                  <c:v>44.650176000000002</c:v>
                </c:pt>
                <c:pt idx="12">
                  <c:v>45.620832</c:v>
                </c:pt>
                <c:pt idx="13">
                  <c:v>46.591487999999998</c:v>
                </c:pt>
                <c:pt idx="14">
                  <c:v>47.076816000000001</c:v>
                </c:pt>
                <c:pt idx="15">
                  <c:v>47.562144000000004</c:v>
                </c:pt>
                <c:pt idx="16">
                  <c:v>48.047471999999999</c:v>
                </c:pt>
                <c:pt idx="17">
                  <c:v>48.532800000000002</c:v>
                </c:pt>
                <c:pt idx="18">
                  <c:v>48.047471999999999</c:v>
                </c:pt>
                <c:pt idx="19">
                  <c:v>47.562144000000004</c:v>
                </c:pt>
                <c:pt idx="20">
                  <c:v>47.076816000000001</c:v>
                </c:pt>
                <c:pt idx="21">
                  <c:v>46.591487999999998</c:v>
                </c:pt>
                <c:pt idx="22">
                  <c:v>46.106160000000003</c:v>
                </c:pt>
                <c:pt idx="23">
                  <c:v>45.620832</c:v>
                </c:pt>
                <c:pt idx="24">
                  <c:v>45.135503999999997</c:v>
                </c:pt>
                <c:pt idx="25">
                  <c:v>44.650175999999995</c:v>
                </c:pt>
                <c:pt idx="26">
                  <c:v>44.164847999999999</c:v>
                </c:pt>
                <c:pt idx="27">
                  <c:v>43.679519999999997</c:v>
                </c:pt>
                <c:pt idx="28">
                  <c:v>42.708863999999998</c:v>
                </c:pt>
                <c:pt idx="29">
                  <c:v>41.738207999999993</c:v>
                </c:pt>
                <c:pt idx="30">
                  <c:v>40.767551999999995</c:v>
                </c:pt>
                <c:pt idx="31">
                  <c:v>39.796895999999997</c:v>
                </c:pt>
                <c:pt idx="32">
                  <c:v>38.826239999999991</c:v>
                </c:pt>
                <c:pt idx="33">
                  <c:v>37.855583999999993</c:v>
                </c:pt>
                <c:pt idx="34">
                  <c:v>36.884927999999988</c:v>
                </c:pt>
                <c:pt idx="35">
                  <c:v>35.91427199999999</c:v>
                </c:pt>
                <c:pt idx="36">
                  <c:v>34.943615999999992</c:v>
                </c:pt>
                <c:pt idx="37">
                  <c:v>33.972959999999986</c:v>
                </c:pt>
                <c:pt idx="38">
                  <c:v>33.002303999999988</c:v>
                </c:pt>
                <c:pt idx="39">
                  <c:v>32.03164799999999</c:v>
                </c:pt>
                <c:pt idx="40">
                  <c:v>31.060991999999985</c:v>
                </c:pt>
                <c:pt idx="41">
                  <c:v>30.090335999999986</c:v>
                </c:pt>
                <c:pt idx="42">
                  <c:v>29.119679999999985</c:v>
                </c:pt>
                <c:pt idx="43">
                  <c:v>26.693039999999982</c:v>
                </c:pt>
                <c:pt idx="44">
                  <c:v>24.266399999999983</c:v>
                </c:pt>
                <c:pt idx="45">
                  <c:v>21.839759999999984</c:v>
                </c:pt>
                <c:pt idx="46">
                  <c:v>19.413119999999982</c:v>
                </c:pt>
                <c:pt idx="47">
                  <c:v>16.986479999999982</c:v>
                </c:pt>
                <c:pt idx="48">
                  <c:v>14.559839999999983</c:v>
                </c:pt>
                <c:pt idx="49">
                  <c:v>12.133199999999984</c:v>
                </c:pt>
                <c:pt idx="50">
                  <c:v>9.7065599999999854</c:v>
                </c:pt>
                <c:pt idx="51">
                  <c:v>7.2799199999999855</c:v>
                </c:pt>
                <c:pt idx="52">
                  <c:v>4.8532799999999847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BPkW_Air!$AA$4</c:f>
              <c:strCache>
                <c:ptCount val="1"/>
                <c:pt idx="0">
                  <c:v>132Xe</c:v>
                </c:pt>
              </c:strCache>
            </c:strRef>
          </c:tx>
          <c:spPr>
            <a:ln>
              <a:solidFill>
                <a:srgbClr val="008000"/>
              </a:solidFill>
            </a:ln>
          </c:spPr>
          <c:marker>
            <c:symbol val="none"/>
          </c:marker>
          <c:xVal>
            <c:numRef>
              <c:f>BPkW_Air!$AD$21:$AD$73</c:f>
              <c:numCache>
                <c:formatCode>0.0</c:formatCode>
                <c:ptCount val="53"/>
                <c:pt idx="0">
                  <c:v>0</c:v>
                </c:pt>
                <c:pt idx="1">
                  <c:v>2.5903875046855197E-2</c:v>
                </c:pt>
                <c:pt idx="2">
                  <c:v>6.2050009255609941</c:v>
                </c:pt>
                <c:pt idx="3">
                  <c:v>9.5646048570628697</c:v>
                </c:pt>
                <c:pt idx="4">
                  <c:v>11.676109678753853</c:v>
                </c:pt>
                <c:pt idx="5">
                  <c:v>13.513534398346449</c:v>
                </c:pt>
                <c:pt idx="6">
                  <c:v>15.443450931184396</c:v>
                </c:pt>
                <c:pt idx="7">
                  <c:v>17.794870635676268</c:v>
                </c:pt>
                <c:pt idx="8">
                  <c:v>21.112884165551829</c:v>
                </c:pt>
                <c:pt idx="9">
                  <c:v>23.459567652571302</c:v>
                </c:pt>
                <c:pt idx="10">
                  <c:v>26.786610544481512</c:v>
                </c:pt>
                <c:pt idx="11">
                  <c:v>28.632876187144827</c:v>
                </c:pt>
                <c:pt idx="12">
                  <c:v>31.1097755293126</c:v>
                </c:pt>
                <c:pt idx="13">
                  <c:v>35.009594637739895</c:v>
                </c:pt>
                <c:pt idx="14">
                  <c:v>38.192953547253673</c:v>
                </c:pt>
                <c:pt idx="15">
                  <c:v>42.615647789876384</c:v>
                </c:pt>
                <c:pt idx="16">
                  <c:v>46.320152964606912</c:v>
                </c:pt>
                <c:pt idx="17">
                  <c:v>63.022175813436071</c:v>
                </c:pt>
                <c:pt idx="18">
                  <c:v>83.717693435621385</c:v>
                </c:pt>
                <c:pt idx="19">
                  <c:v>92.73762031980101</c:v>
                </c:pt>
                <c:pt idx="20">
                  <c:v>100.40800253993037</c:v>
                </c:pt>
                <c:pt idx="21">
                  <c:v>107.12078914176237</c:v>
                </c:pt>
                <c:pt idx="22">
                  <c:v>113.59791144536148</c:v>
                </c:pt>
                <c:pt idx="23">
                  <c:v>119.55313387059437</c:v>
                </c:pt>
                <c:pt idx="24">
                  <c:v>125.45275918391737</c:v>
                </c:pt>
                <c:pt idx="25">
                  <c:v>131.16384787696654</c:v>
                </c:pt>
                <c:pt idx="26">
                  <c:v>136.86151333107034</c:v>
                </c:pt>
                <c:pt idx="27">
                  <c:v>142.49297094836479</c:v>
                </c:pt>
                <c:pt idx="28">
                  <c:v>153.76545511646208</c:v>
                </c:pt>
                <c:pt idx="29">
                  <c:v>165.13784724590647</c:v>
                </c:pt>
                <c:pt idx="30">
                  <c:v>176.77922170616674</c:v>
                </c:pt>
                <c:pt idx="31">
                  <c:v>188.8521441275947</c:v>
                </c:pt>
                <c:pt idx="32">
                  <c:v>201.44818702735162</c:v>
                </c:pt>
                <c:pt idx="33">
                  <c:v>214.67867234081996</c:v>
                </c:pt>
                <c:pt idx="34">
                  <c:v>228.75885277933656</c:v>
                </c:pt>
                <c:pt idx="35">
                  <c:v>244.05332775139789</c:v>
                </c:pt>
                <c:pt idx="36">
                  <c:v>259.89314629381352</c:v>
                </c:pt>
                <c:pt idx="37">
                  <c:v>277.72156804942779</c:v>
                </c:pt>
                <c:pt idx="38">
                  <c:v>295.73550953293619</c:v>
                </c:pt>
                <c:pt idx="39">
                  <c:v>317.20926903933815</c:v>
                </c:pt>
                <c:pt idx="40">
                  <c:v>339.33672832499104</c:v>
                </c:pt>
                <c:pt idx="41">
                  <c:v>365.36278511805779</c:v>
                </c:pt>
                <c:pt idx="42">
                  <c:v>394.15833353521691</c:v>
                </c:pt>
                <c:pt idx="43">
                  <c:v>487.72938046607163</c:v>
                </c:pt>
                <c:pt idx="44">
                  <c:v>635.75330474275597</c:v>
                </c:pt>
                <c:pt idx="45">
                  <c:v>809.74050367103996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  <c:pt idx="52">
                  <c:v>#N/A</c:v>
                </c:pt>
              </c:numCache>
            </c:numRef>
          </c:xVal>
          <c:yVal>
            <c:numRef>
              <c:f>BPkW_Air!$AA$21:$AA$73</c:f>
              <c:numCache>
                <c:formatCode>0.00</c:formatCode>
                <c:ptCount val="53"/>
                <c:pt idx="0" formatCode="0.0">
                  <c:v>0</c:v>
                </c:pt>
                <c:pt idx="1">
                  <c:v>7.7925300000000011</c:v>
                </c:pt>
                <c:pt idx="2">
                  <c:v>15.585060000000002</c:v>
                </c:pt>
                <c:pt idx="3">
                  <c:v>23.377590000000001</c:v>
                </c:pt>
                <c:pt idx="4">
                  <c:v>31.170120000000004</c:v>
                </c:pt>
                <c:pt idx="5">
                  <c:v>38.962650000000004</c:v>
                </c:pt>
                <c:pt idx="6">
                  <c:v>46.755180000000003</c:v>
                </c:pt>
                <c:pt idx="7">
                  <c:v>54.547710000000002</c:v>
                </c:pt>
                <c:pt idx="8">
                  <c:v>62.340240000000009</c:v>
                </c:pt>
                <c:pt idx="9">
                  <c:v>66.236505000000008</c:v>
                </c:pt>
                <c:pt idx="10">
                  <c:v>70.132770000000008</c:v>
                </c:pt>
                <c:pt idx="11">
                  <c:v>71.691276000000016</c:v>
                </c:pt>
                <c:pt idx="12">
                  <c:v>73.249781999999996</c:v>
                </c:pt>
                <c:pt idx="13">
                  <c:v>74.808288000000005</c:v>
                </c:pt>
                <c:pt idx="14">
                  <c:v>75.587541000000002</c:v>
                </c:pt>
                <c:pt idx="15">
                  <c:v>76.366793999999999</c:v>
                </c:pt>
                <c:pt idx="16">
                  <c:v>77.14604700000001</c:v>
                </c:pt>
                <c:pt idx="17">
                  <c:v>77.925300000000007</c:v>
                </c:pt>
                <c:pt idx="18">
                  <c:v>77.14604700000001</c:v>
                </c:pt>
                <c:pt idx="19">
                  <c:v>76.366793999999999</c:v>
                </c:pt>
                <c:pt idx="20">
                  <c:v>75.587541000000002</c:v>
                </c:pt>
                <c:pt idx="21">
                  <c:v>74.808288000000005</c:v>
                </c:pt>
                <c:pt idx="22">
                  <c:v>74.029035000000007</c:v>
                </c:pt>
                <c:pt idx="23">
                  <c:v>73.249781999999996</c:v>
                </c:pt>
                <c:pt idx="24">
                  <c:v>72.470528999999999</c:v>
                </c:pt>
                <c:pt idx="25">
                  <c:v>71.691276000000002</c:v>
                </c:pt>
                <c:pt idx="26">
                  <c:v>70.912023000000005</c:v>
                </c:pt>
                <c:pt idx="27">
                  <c:v>70.132769999999994</c:v>
                </c:pt>
                <c:pt idx="28">
                  <c:v>68.574263999999999</c:v>
                </c:pt>
                <c:pt idx="29">
                  <c:v>67.015757999999991</c:v>
                </c:pt>
                <c:pt idx="30">
                  <c:v>65.457251999999997</c:v>
                </c:pt>
                <c:pt idx="31">
                  <c:v>63.898745999999996</c:v>
                </c:pt>
                <c:pt idx="32">
                  <c:v>62.340239999999994</c:v>
                </c:pt>
                <c:pt idx="33">
                  <c:v>60.781733999999993</c:v>
                </c:pt>
                <c:pt idx="34">
                  <c:v>59.223227999999992</c:v>
                </c:pt>
                <c:pt idx="35">
                  <c:v>57.66472199999999</c:v>
                </c:pt>
                <c:pt idx="36">
                  <c:v>56.106215999999989</c:v>
                </c:pt>
                <c:pt idx="37">
                  <c:v>54.547709999999981</c:v>
                </c:pt>
                <c:pt idx="38">
                  <c:v>52.98920399999998</c:v>
                </c:pt>
                <c:pt idx="39">
                  <c:v>51.430697999999978</c:v>
                </c:pt>
                <c:pt idx="40">
                  <c:v>49.872191999999977</c:v>
                </c:pt>
                <c:pt idx="41">
                  <c:v>48.313685999999976</c:v>
                </c:pt>
                <c:pt idx="42">
                  <c:v>46.755179999999974</c:v>
                </c:pt>
                <c:pt idx="43">
                  <c:v>42.858914999999975</c:v>
                </c:pt>
                <c:pt idx="44">
                  <c:v>38.962649999999975</c:v>
                </c:pt>
                <c:pt idx="45">
                  <c:v>35.066384999999975</c:v>
                </c:pt>
                <c:pt idx="46">
                  <c:v>31.170119999999976</c:v>
                </c:pt>
                <c:pt idx="47">
                  <c:v>27.273854999999976</c:v>
                </c:pt>
                <c:pt idx="48">
                  <c:v>23.377589999999977</c:v>
                </c:pt>
                <c:pt idx="49">
                  <c:v>19.481324999999977</c:v>
                </c:pt>
                <c:pt idx="50">
                  <c:v>15.585059999999975</c:v>
                </c:pt>
                <c:pt idx="51">
                  <c:v>11.688794999999978</c:v>
                </c:pt>
                <c:pt idx="52">
                  <c:v>7.7925299999999762</c:v>
                </c:pt>
              </c:numCache>
            </c:numRef>
          </c:yVal>
          <c:smooth val="0"/>
        </c:ser>
        <c:ser>
          <c:idx val="3"/>
          <c:order val="3"/>
          <c:tx>
            <c:strRef>
              <c:f>BPkW_Air!$AK$4</c:f>
              <c:strCache>
                <c:ptCount val="1"/>
                <c:pt idx="0">
                  <c:v>197Au</c:v>
                </c:pt>
              </c:strCache>
            </c:strRef>
          </c:tx>
          <c:spPr>
            <a:ln>
              <a:solidFill>
                <a:srgbClr val="7030A0"/>
              </a:solidFill>
            </a:ln>
          </c:spPr>
          <c:marker>
            <c:symbol val="none"/>
          </c:marker>
          <c:xVal>
            <c:numRef>
              <c:f>BPkW_Air!$AN$21:$AN$73</c:f>
              <c:numCache>
                <c:formatCode>0.0</c:formatCode>
                <c:ptCount val="53"/>
                <c:pt idx="0">
                  <c:v>0</c:v>
                </c:pt>
                <c:pt idx="1">
                  <c:v>3.4101994926456276E-2</c:v>
                </c:pt>
                <c:pt idx="2">
                  <c:v>10.522940251603726</c:v>
                </c:pt>
                <c:pt idx="3">
                  <c:v>14.587814217113344</c:v>
                </c:pt>
                <c:pt idx="4">
                  <c:v>17.281347642686875</c:v>
                </c:pt>
                <c:pt idx="5">
                  <c:v>19.71656429311755</c:v>
                </c:pt>
                <c:pt idx="6">
                  <c:v>22.302599971999854</c:v>
                </c:pt>
                <c:pt idx="7">
                  <c:v>25.404466431976996</c:v>
                </c:pt>
                <c:pt idx="8">
                  <c:v>29.597362942693056</c:v>
                </c:pt>
                <c:pt idx="9">
                  <c:v>32.574229845032889</c:v>
                </c:pt>
                <c:pt idx="10">
                  <c:v>36.956899306707875</c:v>
                </c:pt>
                <c:pt idx="11">
                  <c:v>39.557839130359177</c:v>
                </c:pt>
                <c:pt idx="12">
                  <c:v>43.303941624259608</c:v>
                </c:pt>
                <c:pt idx="13">
                  <c:v>50.042807704308856</c:v>
                </c:pt>
                <c:pt idx="14">
                  <c:v>53.520946618548606</c:v>
                </c:pt>
                <c:pt idx="15">
                  <c:v>58.556994607410338</c:v>
                </c:pt>
                <c:pt idx="16">
                  <c:v>66.998410765927943</c:v>
                </c:pt>
                <c:pt idx="17">
                  <c:v>92.066293964745185</c:v>
                </c:pt>
                <c:pt idx="18">
                  <c:v>116.32600867153903</c:v>
                </c:pt>
                <c:pt idx="19">
                  <c:v>129.52016264104819</c:v>
                </c:pt>
                <c:pt idx="20">
                  <c:v>140.55439953115371</c:v>
                </c:pt>
                <c:pt idx="21">
                  <c:v>150.06573121261201</c:v>
                </c:pt>
                <c:pt idx="22">
                  <c:v>158.97610703686834</c:v>
                </c:pt>
                <c:pt idx="23">
                  <c:v>168.17121951991271</c:v>
                </c:pt>
                <c:pt idx="24">
                  <c:v>176.8722985588131</c:v>
                </c:pt>
                <c:pt idx="25">
                  <c:v>185.52244559157666</c:v>
                </c:pt>
                <c:pt idx="26">
                  <c:v>194.08373478554338</c:v>
                </c:pt>
                <c:pt idx="27">
                  <c:v>202.64502397951011</c:v>
                </c:pt>
                <c:pt idx="28">
                  <c:v>220.15865424302211</c:v>
                </c:pt>
                <c:pt idx="29">
                  <c:v>238.20958747197093</c:v>
                </c:pt>
                <c:pt idx="30">
                  <c:v>257.00265592460624</c:v>
                </c:pt>
                <c:pt idx="31">
                  <c:v>276.79736173055471</c:v>
                </c:pt>
                <c:pt idx="32">
                  <c:v>297.91373145830244</c:v>
                </c:pt>
                <c:pt idx="33">
                  <c:v>321.02359734983736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</c:numCache>
            </c:numRef>
          </c:xVal>
          <c:yVal>
            <c:numRef>
              <c:f>BPkW_Air!$AK$21:$AK$73</c:f>
              <c:numCache>
                <c:formatCode>0.00</c:formatCode>
                <c:ptCount val="53"/>
                <c:pt idx="0" formatCode="0.0">
                  <c:v>0</c:v>
                </c:pt>
                <c:pt idx="1">
                  <c:v>10.608130000000001</c:v>
                </c:pt>
                <c:pt idx="2">
                  <c:v>21.216260000000002</c:v>
                </c:pt>
                <c:pt idx="3">
                  <c:v>31.824389999999998</c:v>
                </c:pt>
                <c:pt idx="4">
                  <c:v>42.432520000000004</c:v>
                </c:pt>
                <c:pt idx="5">
                  <c:v>53.040649999999999</c:v>
                </c:pt>
                <c:pt idx="6">
                  <c:v>63.648779999999995</c:v>
                </c:pt>
                <c:pt idx="7">
                  <c:v>74.256909999999991</c:v>
                </c:pt>
                <c:pt idx="8">
                  <c:v>84.865040000000008</c:v>
                </c:pt>
                <c:pt idx="9">
                  <c:v>90.169105000000002</c:v>
                </c:pt>
                <c:pt idx="10">
                  <c:v>95.473169999999996</c:v>
                </c:pt>
                <c:pt idx="11">
                  <c:v>97.594796000000002</c:v>
                </c:pt>
                <c:pt idx="12">
                  <c:v>99.716421999999994</c:v>
                </c:pt>
                <c:pt idx="13">
                  <c:v>101.838048</c:v>
                </c:pt>
                <c:pt idx="14">
                  <c:v>102.898861</c:v>
                </c:pt>
                <c:pt idx="15">
                  <c:v>103.95967399999999</c:v>
                </c:pt>
                <c:pt idx="16">
                  <c:v>105.020487</c:v>
                </c:pt>
                <c:pt idx="17">
                  <c:v>106.0813</c:v>
                </c:pt>
                <c:pt idx="18">
                  <c:v>105.020487</c:v>
                </c:pt>
                <c:pt idx="19">
                  <c:v>103.95967399999999</c:v>
                </c:pt>
                <c:pt idx="20">
                  <c:v>102.898861</c:v>
                </c:pt>
                <c:pt idx="21">
                  <c:v>101.838048</c:v>
                </c:pt>
                <c:pt idx="22">
                  <c:v>100.77723499999999</c:v>
                </c:pt>
                <c:pt idx="23">
                  <c:v>99.716421999999994</c:v>
                </c:pt>
                <c:pt idx="24">
                  <c:v>98.655608999999998</c:v>
                </c:pt>
                <c:pt idx="25">
                  <c:v>97.594795999999988</c:v>
                </c:pt>
                <c:pt idx="26">
                  <c:v>96.533982999999992</c:v>
                </c:pt>
                <c:pt idx="27">
                  <c:v>95.473169999999996</c:v>
                </c:pt>
                <c:pt idx="28">
                  <c:v>93.35154399999999</c:v>
                </c:pt>
                <c:pt idx="29">
                  <c:v>91.229917999999984</c:v>
                </c:pt>
                <c:pt idx="30">
                  <c:v>89.108291999999977</c:v>
                </c:pt>
                <c:pt idx="31">
                  <c:v>86.986665999999985</c:v>
                </c:pt>
                <c:pt idx="32">
                  <c:v>84.865039999999979</c:v>
                </c:pt>
                <c:pt idx="33">
                  <c:v>82.743413999999973</c:v>
                </c:pt>
                <c:pt idx="34">
                  <c:v>80.621787999999981</c:v>
                </c:pt>
                <c:pt idx="35">
                  <c:v>78.500161999999975</c:v>
                </c:pt>
                <c:pt idx="36">
                  <c:v>76.378535999999968</c:v>
                </c:pt>
                <c:pt idx="37">
                  <c:v>74.256909999999976</c:v>
                </c:pt>
                <c:pt idx="38">
                  <c:v>72.13528399999997</c:v>
                </c:pt>
                <c:pt idx="39">
                  <c:v>70.013657999999964</c:v>
                </c:pt>
                <c:pt idx="40">
                  <c:v>67.892031999999972</c:v>
                </c:pt>
                <c:pt idx="41">
                  <c:v>65.770405999999966</c:v>
                </c:pt>
                <c:pt idx="42">
                  <c:v>63.64877999999996</c:v>
                </c:pt>
                <c:pt idx="43">
                  <c:v>58.344714999999958</c:v>
                </c:pt>
                <c:pt idx="44">
                  <c:v>53.040649999999957</c:v>
                </c:pt>
                <c:pt idx="45">
                  <c:v>47.736584999999963</c:v>
                </c:pt>
                <c:pt idx="46">
                  <c:v>42.432519999999961</c:v>
                </c:pt>
                <c:pt idx="47">
                  <c:v>37.12845499999996</c:v>
                </c:pt>
                <c:pt idx="48">
                  <c:v>31.824389999999962</c:v>
                </c:pt>
                <c:pt idx="49">
                  <c:v>26.520324999999964</c:v>
                </c:pt>
                <c:pt idx="50">
                  <c:v>21.216259999999966</c:v>
                </c:pt>
                <c:pt idx="51">
                  <c:v>15.912194999999967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4123232"/>
        <c:axId val="454123624"/>
      </c:scatterChart>
      <c:valAx>
        <c:axId val="454123232"/>
        <c:scaling>
          <c:orientation val="maxMin"/>
          <c:max val="200"/>
          <c:min val="-50"/>
        </c:scaling>
        <c:delete val="0"/>
        <c:axPos val="b"/>
        <c:majorGridlines>
          <c:spPr>
            <a:ln>
              <a:solidFill>
                <a:schemeClr val="tx2">
                  <a:lumMod val="40000"/>
                  <a:lumOff val="60000"/>
                </a:schemeClr>
              </a:solidFill>
              <a:prstDash val="dash"/>
            </a:ln>
          </c:spPr>
        </c:majorGridlines>
        <c:title>
          <c:tx>
            <c:strRef>
              <c:f>BPkW_Air!$C$85</c:f>
              <c:strCache>
                <c:ptCount val="1"/>
                <c:pt idx="0">
                  <c:v>Thick [mm] Air</c:v>
                </c:pt>
              </c:strCache>
            </c:strRef>
          </c:tx>
          <c:layout>
            <c:manualLayout>
              <c:xMode val="edge"/>
              <c:yMode val="edge"/>
              <c:x val="0.32492175925925926"/>
              <c:y val="0.94530462962962958"/>
            </c:manualLayout>
          </c:layout>
          <c:overlay val="0"/>
          <c:spPr>
            <a:solidFill>
              <a:schemeClr val="bg1"/>
            </a:solidFill>
          </c:spPr>
          <c:txPr>
            <a:bodyPr/>
            <a:lstStyle/>
            <a:p>
              <a:pPr>
                <a:defRPr sz="1200">
                  <a:solidFill>
                    <a:schemeClr val="tx1"/>
                  </a:solidFill>
                </a:defRPr>
              </a:pPr>
              <a:endParaRPr lang="ja-JP"/>
            </a:p>
          </c:txPr>
        </c:title>
        <c:numFmt formatCode="0_ " sourceLinked="0"/>
        <c:majorTickMark val="cross"/>
        <c:minorTickMark val="out"/>
        <c:tickLblPos val="nextTo"/>
        <c:txPr>
          <a:bodyPr/>
          <a:lstStyle/>
          <a:p>
            <a:pPr>
              <a:defRPr sz="1100">
                <a:latin typeface="+mn-ea"/>
                <a:ea typeface="+mn-ea"/>
              </a:defRPr>
            </a:pPr>
            <a:endParaRPr lang="ja-JP"/>
          </a:p>
        </c:txPr>
        <c:crossAx val="454123624"/>
        <c:crosses val="autoZero"/>
        <c:crossBetween val="midCat"/>
      </c:valAx>
      <c:valAx>
        <c:axId val="454123624"/>
        <c:scaling>
          <c:orientation val="minMax"/>
        </c:scaling>
        <c:delete val="0"/>
        <c:axPos val="r"/>
        <c:majorGridlines>
          <c:spPr>
            <a:ln>
              <a:solidFill>
                <a:schemeClr val="tx2">
                  <a:lumMod val="40000"/>
                  <a:lumOff val="60000"/>
                </a:schemeClr>
              </a:solidFill>
              <a:prstDash val="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altLang="en-US" sz="1200"/>
                  <a:t>LETt </a:t>
                </a:r>
                <a:r>
                  <a:rPr lang="en-US" altLang="en-US" sz="1200">
                    <a:solidFill>
                      <a:srgbClr val="FF0000"/>
                    </a:solidFill>
                  </a:rPr>
                  <a:t>in Air </a:t>
                </a:r>
                <a:r>
                  <a:rPr lang="en-US" altLang="en-US" sz="1200" b="0">
                    <a:solidFill>
                      <a:schemeClr val="tx1"/>
                    </a:solidFill>
                  </a:rPr>
                  <a:t>[MeV/(mg/cm2)]</a:t>
                </a:r>
              </a:p>
            </c:rich>
          </c:tx>
          <c:layout>
            <c:manualLayout>
              <c:xMode val="edge"/>
              <c:yMode val="edge"/>
              <c:x val="0.93902832370385148"/>
              <c:y val="0.36370244381058842"/>
            </c:manualLayout>
          </c:layout>
          <c:overlay val="0"/>
        </c:title>
        <c:numFmt formatCode="0_ " sourceLinked="0"/>
        <c:majorTickMark val="cross"/>
        <c:minorTickMark val="out"/>
        <c:tickLblPos val="nextTo"/>
        <c:txPr>
          <a:bodyPr/>
          <a:lstStyle/>
          <a:p>
            <a:pPr>
              <a:defRPr sz="1100"/>
            </a:pPr>
            <a:endParaRPr lang="ja-JP"/>
          </a:p>
        </c:txPr>
        <c:crossAx val="454123232"/>
        <c:crossesAt val="-100"/>
        <c:crossBetween val="midCat"/>
      </c:valAx>
    </c:plotArea>
    <c:legend>
      <c:legendPos val="r"/>
      <c:layout>
        <c:manualLayout>
          <c:xMode val="edge"/>
          <c:yMode val="edge"/>
          <c:x val="0.61477923635859522"/>
          <c:y val="7.9007026525192578E-2"/>
          <c:w val="0.22996875"/>
          <c:h val="0.15542407407407408"/>
        </c:manualLayout>
      </c:layout>
      <c:overlay val="0"/>
      <c:spPr>
        <a:solidFill>
          <a:schemeClr val="bg1"/>
        </a:solidFill>
      </c:sp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50">
          <a:latin typeface="+mn-ea"/>
          <a:ea typeface="+mn-ea"/>
        </a:defRPr>
      </a:pPr>
      <a:endParaRPr lang="ja-JP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BPkW_Air!$C$81</c:f>
          <c:strCache>
            <c:ptCount val="1"/>
            <c:pt idx="0">
              <c:v>LETnucl  in Air</c:v>
            </c:pt>
          </c:strCache>
        </c:strRef>
      </c:tx>
      <c:layout>
        <c:manualLayout>
          <c:xMode val="edge"/>
          <c:yMode val="edge"/>
          <c:x val="7.8675819879885561E-2"/>
          <c:y val="6.9191830745774743E-2"/>
        </c:manualLayout>
      </c:layout>
      <c:overlay val="0"/>
      <c:txPr>
        <a:bodyPr/>
        <a:lstStyle/>
        <a:p>
          <a:pPr>
            <a:defRPr sz="1400"/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6.1844212962962962E-2"/>
          <c:y val="5.4289891946211082E-2"/>
          <c:w val="0.80708425821795637"/>
          <c:h val="0.84191597222222236"/>
        </c:manualLayout>
      </c:layout>
      <c:scatterChart>
        <c:scatterStyle val="smoothMarker"/>
        <c:varyColors val="0"/>
        <c:ser>
          <c:idx val="0"/>
          <c:order val="0"/>
          <c:tx>
            <c:strRef>
              <c:f>BPkW_Air!$G$4</c:f>
              <c:strCache>
                <c:ptCount val="1"/>
                <c:pt idx="0">
                  <c:v>40Ar</c:v>
                </c:pt>
              </c:strCache>
            </c:strRef>
          </c:tx>
          <c:spPr>
            <a:ln w="19050">
              <a:solidFill>
                <a:srgbClr val="FF0000"/>
              </a:solidFill>
            </a:ln>
          </c:spPr>
          <c:marker>
            <c:symbol val="circle"/>
            <c:size val="3"/>
            <c:spPr>
              <a:noFill/>
              <a:ln>
                <a:solidFill>
                  <a:srgbClr val="FF0000"/>
                </a:solidFill>
              </a:ln>
            </c:spPr>
          </c:marker>
          <c:xVal>
            <c:numRef>
              <c:f>BPkW_Air!$J$21:$J$73</c:f>
              <c:numCache>
                <c:formatCode>0.0</c:formatCode>
                <c:ptCount val="53"/>
                <c:pt idx="0">
                  <c:v>0</c:v>
                </c:pt>
                <c:pt idx="1">
                  <c:v>7.2920591588318592E-3</c:v>
                </c:pt>
                <c:pt idx="2">
                  <c:v>1.5690773953078005</c:v>
                </c:pt>
                <c:pt idx="3">
                  <c:v>3.9788848620165136</c:v>
                </c:pt>
                <c:pt idx="4">
                  <c:v>5.4087107707779936</c:v>
                </c:pt>
                <c:pt idx="5">
                  <c:v>6.4485476364745864</c:v>
                </c:pt>
                <c:pt idx="6">
                  <c:v>7.3227335299448866</c:v>
                </c:pt>
                <c:pt idx="7">
                  <c:v>8.1961998242408267</c:v>
                </c:pt>
                <c:pt idx="8">
                  <c:v>9.1752106441489456</c:v>
                </c:pt>
                <c:pt idx="9">
                  <c:v>9.777321666118036</c:v>
                </c:pt>
                <c:pt idx="10">
                  <c:v>10.539519772838647</c:v>
                </c:pt>
                <c:pt idx="11">
                  <c:v>10.925494042990149</c:v>
                </c:pt>
                <c:pt idx="12">
                  <c:v>11.388427886758096</c:v>
                </c:pt>
                <c:pt idx="13">
                  <c:v>11.988721710212012</c:v>
                </c:pt>
                <c:pt idx="14">
                  <c:v>12.372544933130301</c:v>
                </c:pt>
                <c:pt idx="15">
                  <c:v>12.871847319980112</c:v>
                </c:pt>
                <c:pt idx="16">
                  <c:v>13.519539956190657</c:v>
                </c:pt>
                <c:pt idx="17">
                  <c:v>15.086664524830621</c:v>
                </c:pt>
                <c:pt idx="18">
                  <c:v>17.875731420570347</c:v>
                </c:pt>
                <c:pt idx="19">
                  <c:v>19.117036328816887</c:v>
                </c:pt>
                <c:pt idx="20">
                  <c:v>20.168378731795553</c:v>
                </c:pt>
                <c:pt idx="21">
                  <c:v>21.180762899538436</c:v>
                </c:pt>
                <c:pt idx="22">
                  <c:v>22.115516701259555</c:v>
                </c:pt>
                <c:pt idx="23">
                  <c:v>23.051019870472768</c:v>
                </c:pt>
                <c:pt idx="24">
                  <c:v>23.98866526623064</c:v>
                </c:pt>
                <c:pt idx="25">
                  <c:v>24.933778821675336</c:v>
                </c:pt>
                <c:pt idx="26">
                  <c:v>25.89346876870141</c:v>
                </c:pt>
                <c:pt idx="27">
                  <c:v>26.860113256563594</c:v>
                </c:pt>
                <c:pt idx="28">
                  <c:v>28.848068032938212</c:v>
                </c:pt>
                <c:pt idx="29">
                  <c:v>31.003531174874855</c:v>
                </c:pt>
                <c:pt idx="30">
                  <c:v>33.282942211054504</c:v>
                </c:pt>
                <c:pt idx="31">
                  <c:v>36.309480566242492</c:v>
                </c:pt>
                <c:pt idx="32">
                  <c:v>39.621463488240131</c:v>
                </c:pt>
                <c:pt idx="33">
                  <c:v>42.687546090981648</c:v>
                </c:pt>
                <c:pt idx="34">
                  <c:v>46.526636138904607</c:v>
                </c:pt>
                <c:pt idx="35">
                  <c:v>50.807584422928329</c:v>
                </c:pt>
                <c:pt idx="36">
                  <c:v>55.657676960250789</c:v>
                </c:pt>
                <c:pt idx="37">
                  <c:v>61.049565392334657</c:v>
                </c:pt>
                <c:pt idx="38">
                  <c:v>67.134510171486724</c:v>
                </c:pt>
                <c:pt idx="39">
                  <c:v>73.933481171274536</c:v>
                </c:pt>
                <c:pt idx="40">
                  <c:v>81.682193676625587</c:v>
                </c:pt>
                <c:pt idx="41">
                  <c:v>90.184624725413329</c:v>
                </c:pt>
                <c:pt idx="42">
                  <c:v>99.956726574578468</c:v>
                </c:pt>
                <c:pt idx="43">
                  <c:v>128.8043480203938</c:v>
                </c:pt>
                <c:pt idx="44" formatCode="0">
                  <c:v>165.90912181238284</c:v>
                </c:pt>
                <c:pt idx="45" formatCode="0">
                  <c:v>215.1807272821269</c:v>
                </c:pt>
                <c:pt idx="46" formatCode="0">
                  <c:v>281.75551091719723</c:v>
                </c:pt>
                <c:pt idx="47" formatCode="0">
                  <c:v>374.20516476773923</c:v>
                </c:pt>
                <c:pt idx="48" formatCode="0">
                  <c:v>516.05775521183978</c:v>
                </c:pt>
                <c:pt idx="49" formatCode="0">
                  <c:v>765.3416220530363</c:v>
                </c:pt>
                <c:pt idx="50" formatCode="0">
                  <c:v>1349.5370561034883</c:v>
                </c:pt>
                <c:pt idx="51" formatCode="0">
                  <c:v>2580.9331584389402</c:v>
                </c:pt>
                <c:pt idx="52" formatCode="0">
                  <c:v>6310.0067556530521</c:v>
                </c:pt>
              </c:numCache>
            </c:numRef>
          </c:xVal>
          <c:yVal>
            <c:numRef>
              <c:f>BPkW_Air!$O$21:$O$73</c:f>
              <c:numCache>
                <c:formatCode>0.00</c:formatCode>
                <c:ptCount val="53"/>
                <c:pt idx="0" formatCode="0.0">
                  <c:v>0</c:v>
                </c:pt>
                <c:pt idx="1">
                  <c:v>2.3032310344827587</c:v>
                </c:pt>
                <c:pt idx="2">
                  <c:v>0.83079879711096527</c:v>
                </c:pt>
                <c:pt idx="3">
                  <c:v>0.37568066141732298</c:v>
                </c:pt>
                <c:pt idx="4">
                  <c:v>0.26869835215946841</c:v>
                </c:pt>
                <c:pt idx="5">
                  <c:v>0.2144789149363697</c:v>
                </c:pt>
                <c:pt idx="6">
                  <c:v>0.17857119351763587</c:v>
                </c:pt>
                <c:pt idx="7">
                  <c:v>0.15041908978553256</c:v>
                </c:pt>
                <c:pt idx="8">
                  <c:v>0.12541152941176467</c:v>
                </c:pt>
                <c:pt idx="9">
                  <c:v>0.11299163723215508</c:v>
                </c:pt>
                <c:pt idx="10">
                  <c:v>9.9981677649577744E-2</c:v>
                </c:pt>
                <c:pt idx="11">
                  <c:v>9.4346070609871061E-2</c:v>
                </c:pt>
                <c:pt idx="12">
                  <c:v>8.8312074388254502E-2</c:v>
                </c:pt>
                <c:pt idx="13">
                  <c:v>8.1586621970115042E-2</c:v>
                </c:pt>
                <c:pt idx="14">
                  <c:v>7.7741558726024756E-2</c:v>
                </c:pt>
                <c:pt idx="15">
                  <c:v>7.3301040947919602E-2</c:v>
                </c:pt>
                <c:pt idx="16">
                  <c:v>6.8093245110458972E-2</c:v>
                </c:pt>
                <c:pt idx="17">
                  <c:v>5.8279999999999998E-2</c:v>
                </c:pt>
                <c:pt idx="18">
                  <c:v>4.6729086908420335E-2</c:v>
                </c:pt>
                <c:pt idx="19">
                  <c:v>4.3043913679477998E-2</c:v>
                </c:pt>
                <c:pt idx="20">
                  <c:v>4.049011432614074E-2</c:v>
                </c:pt>
                <c:pt idx="21">
                  <c:v>3.818121918444959E-2</c:v>
                </c:pt>
                <c:pt idx="22">
                  <c:v>3.6428497358968921E-2</c:v>
                </c:pt>
                <c:pt idx="23">
                  <c:v>3.4758889280165711E-2</c:v>
                </c:pt>
                <c:pt idx="24">
                  <c:v>3.3326879544277557E-2</c:v>
                </c:pt>
                <c:pt idx="25">
                  <c:v>3.197036165201525E-2</c:v>
                </c:pt>
                <c:pt idx="26">
                  <c:v>3.0761189119256911E-2</c:v>
                </c:pt>
                <c:pt idx="27">
                  <c:v>2.9621792531120315E-2</c:v>
                </c:pt>
                <c:pt idx="28">
                  <c:v>2.7586506122625757E-2</c:v>
                </c:pt>
                <c:pt idx="29">
                  <c:v>2.5781469523176656E-2</c:v>
                </c:pt>
                <c:pt idx="30">
                  <c:v>2.4134115289966295E-2</c:v>
                </c:pt>
                <c:pt idx="31">
                  <c:v>2.2300126044618458E-2</c:v>
                </c:pt>
                <c:pt idx="32">
                  <c:v>2.0618585737693228E-2</c:v>
                </c:pt>
                <c:pt idx="33">
                  <c:v>1.9292091430171104E-2</c:v>
                </c:pt>
                <c:pt idx="34">
                  <c:v>1.7937402302550989E-2</c:v>
                </c:pt>
                <c:pt idx="35">
                  <c:v>1.6674132668329164E-2</c:v>
                </c:pt>
                <c:pt idx="36">
                  <c:v>1.5480489431342984E-2</c:v>
                </c:pt>
                <c:pt idx="37">
                  <c:v>1.4382807837410227E-2</c:v>
                </c:pt>
                <c:pt idx="38">
                  <c:v>1.3354491923834519E-2</c:v>
                </c:pt>
                <c:pt idx="39">
                  <c:v>1.239792260855097E-2</c:v>
                </c:pt>
                <c:pt idx="40">
                  <c:v>1.1503342433798693E-2</c:v>
                </c:pt>
                <c:pt idx="41">
                  <c:v>1.0682702261382168E-2</c:v>
                </c:pt>
                <c:pt idx="42">
                  <c:v>9.9268809736419265E-3</c:v>
                </c:pt>
                <c:pt idx="43">
                  <c:v>8.2713993272399942E-3</c:v>
                </c:pt>
                <c:pt idx="44">
                  <c:v>6.9336944789962791E-3</c:v>
                </c:pt>
                <c:pt idx="45">
                  <c:v>5.8337632762205565E-3</c:v>
                </c:pt>
                <c:pt idx="46">
                  <c:v>4.9198925089677624E-3</c:v>
                </c:pt>
                <c:pt idx="47">
                  <c:v>4.1292125107505037E-3</c:v>
                </c:pt>
                <c:pt idx="48">
                  <c:v>3.4197319406352243E-3</c:v>
                </c:pt>
                <c:pt idx="49">
                  <c:v>2.7337000258432754E-3</c:v>
                </c:pt>
                <c:pt idx="50">
                  <c:v>1.9870472881914247E-3</c:v>
                </c:pt>
                <c:pt idx="51">
                  <c:v>1.4000038218433008E-3</c:v>
                </c:pt>
                <c:pt idx="52">
                  <c:v>8.6795572635266661E-4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BPkW_Air!$Q$4</c:f>
              <c:strCache>
                <c:ptCount val="1"/>
                <c:pt idx="0">
                  <c:v>84Kr</c:v>
                </c:pt>
              </c:strCache>
            </c:strRef>
          </c:tx>
          <c:spPr>
            <a:ln w="19050">
              <a:solidFill>
                <a:srgbClr val="0000FF"/>
              </a:solidFill>
            </a:ln>
          </c:spPr>
          <c:marker>
            <c:symbol val="none"/>
          </c:marker>
          <c:xVal>
            <c:numRef>
              <c:f>BPkW_Air!$T$21:$T$73</c:f>
              <c:numCache>
                <c:formatCode>0.0</c:formatCode>
                <c:ptCount val="53"/>
                <c:pt idx="0">
                  <c:v>0</c:v>
                </c:pt>
                <c:pt idx="1">
                  <c:v>1.3735984188680684E-2</c:v>
                </c:pt>
                <c:pt idx="2">
                  <c:v>4.7681196091941525</c:v>
                </c:pt>
                <c:pt idx="3">
                  <c:v>7.6068338712630288</c:v>
                </c:pt>
                <c:pt idx="4">
                  <c:v>9.3448381673649461</c:v>
                </c:pt>
                <c:pt idx="5">
                  <c:v>10.714757727776007</c:v>
                </c:pt>
                <c:pt idx="6">
                  <c:v>11.975008232947349</c:v>
                </c:pt>
                <c:pt idx="7">
                  <c:v>13.312662364547307</c:v>
                </c:pt>
                <c:pt idx="8">
                  <c:v>14.972818841898331</c:v>
                </c:pt>
                <c:pt idx="9">
                  <c:v>16.051212721579311</c:v>
                </c:pt>
                <c:pt idx="10">
                  <c:v>17.493600262704184</c:v>
                </c:pt>
                <c:pt idx="11">
                  <c:v>18.241867199889832</c:v>
                </c:pt>
                <c:pt idx="12">
                  <c:v>19.139471021105102</c:v>
                </c:pt>
                <c:pt idx="13">
                  <c:v>20.295824138228458</c:v>
                </c:pt>
                <c:pt idx="14">
                  <c:v>21.055736023141769</c:v>
                </c:pt>
                <c:pt idx="15">
                  <c:v>22.003712155859578</c:v>
                </c:pt>
                <c:pt idx="16">
                  <c:v>23.471837801815319</c:v>
                </c:pt>
                <c:pt idx="17">
                  <c:v>27.457119050922348</c:v>
                </c:pt>
                <c:pt idx="18">
                  <c:v>33.429228907769179</c:v>
                </c:pt>
                <c:pt idx="19">
                  <c:v>36.902950925293709</c:v>
                </c:pt>
                <c:pt idx="20">
                  <c:v>42.750918945497183</c:v>
                </c:pt>
                <c:pt idx="21">
                  <c:v>47.197815945400876</c:v>
                </c:pt>
                <c:pt idx="22">
                  <c:v>52.659828889081993</c:v>
                </c:pt>
                <c:pt idx="23">
                  <c:v>58.569311663379786</c:v>
                </c:pt>
                <c:pt idx="24">
                  <c:v>64.734709233655863</c:v>
                </c:pt>
                <c:pt idx="25">
                  <c:v>70.849166255400419</c:v>
                </c:pt>
                <c:pt idx="26">
                  <c:v>77.029714746493966</c:v>
                </c:pt>
                <c:pt idx="27">
                  <c:v>83.002680010839086</c:v>
                </c:pt>
                <c:pt idx="28">
                  <c:v>94.699539685982899</c:v>
                </c:pt>
                <c:pt idx="29">
                  <c:v>106.08552607711789</c:v>
                </c:pt>
                <c:pt idx="30">
                  <c:v>117.36009179620864</c:v>
                </c:pt>
                <c:pt idx="31">
                  <c:v>128.57057467484609</c:v>
                </c:pt>
                <c:pt idx="32">
                  <c:v>139.81059348848396</c:v>
                </c:pt>
                <c:pt idx="33">
                  <c:v>151.37615130245135</c:v>
                </c:pt>
                <c:pt idx="34">
                  <c:v>163.10733771783683</c:v>
                </c:pt>
                <c:pt idx="35">
                  <c:v>175.45620390803541</c:v>
                </c:pt>
                <c:pt idx="36">
                  <c:v>188.07176998572189</c:v>
                </c:pt>
                <c:pt idx="37">
                  <c:v>201.60871808821855</c:v>
                </c:pt>
                <c:pt idx="38">
                  <c:v>215.3556260570779</c:v>
                </c:pt>
                <c:pt idx="39">
                  <c:v>230.60932172640082</c:v>
                </c:pt>
                <c:pt idx="40">
                  <c:v>246.38407920749754</c:v>
                </c:pt>
                <c:pt idx="41">
                  <c:v>263.47168996365878</c:v>
                </c:pt>
                <c:pt idx="42">
                  <c:v>282.13494813583372</c:v>
                </c:pt>
                <c:pt idx="43">
                  <c:v>336.4576221760139</c:v>
                </c:pt>
                <c:pt idx="44">
                  <c:v>407.86876212569496</c:v>
                </c:pt>
                <c:pt idx="45">
                  <c:v>512.40356201145858</c:v>
                </c:pt>
                <c:pt idx="46">
                  <c:v>694.31944814366693</c:v>
                </c:pt>
                <c:pt idx="47">
                  <c:v>963.5412826313476</c:v>
                </c:pt>
                <c:pt idx="48">
                  <c:v>1362.3546332047301</c:v>
                </c:pt>
                <c:pt idx="49">
                  <c:v>2060.6734504539113</c:v>
                </c:pt>
                <c:pt idx="50">
                  <c:v>#N/A</c:v>
                </c:pt>
                <c:pt idx="51">
                  <c:v>#N/A</c:v>
                </c:pt>
                <c:pt idx="52">
                  <c:v>#N/A</c:v>
                </c:pt>
              </c:numCache>
            </c:numRef>
          </c:xVal>
          <c:yVal>
            <c:numRef>
              <c:f>BPkW_Air!$Y$21:$Y$73</c:f>
              <c:numCache>
                <c:formatCode>0.00</c:formatCode>
                <c:ptCount val="53"/>
                <c:pt idx="0" formatCode="0.0">
                  <c:v>0</c:v>
                </c:pt>
                <c:pt idx="1">
                  <c:v>4.5339899669967005</c:v>
                </c:pt>
                <c:pt idx="2">
                  <c:v>1.4557948387096773</c:v>
                </c:pt>
                <c:pt idx="3">
                  <c:v>0.92924664427025006</c:v>
                </c:pt>
                <c:pt idx="4">
                  <c:v>0.72018010303377211</c:v>
                </c:pt>
                <c:pt idx="5">
                  <c:v>0.59276501325255582</c:v>
                </c:pt>
                <c:pt idx="6">
                  <c:v>0.49718401615239433</c:v>
                </c:pt>
                <c:pt idx="7">
                  <c:v>0.41579946473123158</c:v>
                </c:pt>
                <c:pt idx="8">
                  <c:v>0.33940775162744102</c:v>
                </c:pt>
                <c:pt idx="9">
                  <c:v>0.30086328584995264</c:v>
                </c:pt>
                <c:pt idx="10">
                  <c:v>0.26054033808769145</c:v>
                </c:pt>
                <c:pt idx="11">
                  <c:v>0.24327939635554796</c:v>
                </c:pt>
                <c:pt idx="12">
                  <c:v>0.22502167444919438</c:v>
                </c:pt>
                <c:pt idx="13">
                  <c:v>0.20505770212765964</c:v>
                </c:pt>
                <c:pt idx="14">
                  <c:v>0.19384769438859431</c:v>
                </c:pt>
                <c:pt idx="15">
                  <c:v>0.18130588201576286</c:v>
                </c:pt>
                <c:pt idx="16">
                  <c:v>0.16526930278958052</c:v>
                </c:pt>
                <c:pt idx="17">
                  <c:v>0.1328</c:v>
                </c:pt>
                <c:pt idx="18">
                  <c:v>0.10381903891708971</c:v>
                </c:pt>
                <c:pt idx="19">
                  <c:v>9.2449474851903649E-2</c:v>
                </c:pt>
                <c:pt idx="20">
                  <c:v>7.8559036960750686E-2</c:v>
                </c:pt>
                <c:pt idx="21">
                  <c:v>7.0710253441978038E-2</c:v>
                </c:pt>
                <c:pt idx="22">
                  <c:v>6.3070853617440512E-2</c:v>
                </c:pt>
                <c:pt idx="23">
                  <c:v>5.6564817502668126E-2</c:v>
                </c:pt>
                <c:pt idx="24">
                  <c:v>5.1286537685078543E-2</c:v>
                </c:pt>
                <c:pt idx="25">
                  <c:v>4.7011772880810668E-2</c:v>
                </c:pt>
                <c:pt idx="26">
                  <c:v>4.33984897356769E-2</c:v>
                </c:pt>
                <c:pt idx="27">
                  <c:v>4.0487212299119349E-2</c:v>
                </c:pt>
                <c:pt idx="28">
                  <c:v>3.5936223144612311E-2</c:v>
                </c:pt>
                <c:pt idx="29">
                  <c:v>3.248411812025162E-2</c:v>
                </c:pt>
                <c:pt idx="30">
                  <c:v>2.9742527424741656E-2</c:v>
                </c:pt>
                <c:pt idx="31">
                  <c:v>2.750882309936763E-2</c:v>
                </c:pt>
                <c:pt idx="32">
                  <c:v>2.5639471921689836E-2</c:v>
                </c:pt>
                <c:pt idx="33">
                  <c:v>2.4081906332538799E-2</c:v>
                </c:pt>
                <c:pt idx="34">
                  <c:v>2.264371216903947E-2</c:v>
                </c:pt>
                <c:pt idx="35">
                  <c:v>2.1395219861814616E-2</c:v>
                </c:pt>
                <c:pt idx="36">
                  <c:v>2.0228636442961478E-2</c:v>
                </c:pt>
                <c:pt idx="37">
                  <c:v>1.9219216583322436E-2</c:v>
                </c:pt>
                <c:pt idx="38">
                  <c:v>1.8244770698845909E-2</c:v>
                </c:pt>
                <c:pt idx="39">
                  <c:v>1.7391112350206694E-2</c:v>
                </c:pt>
                <c:pt idx="40">
                  <c:v>1.6560598249801099E-2</c:v>
                </c:pt>
                <c:pt idx="41">
                  <c:v>1.5788397772474136E-2</c:v>
                </c:pt>
                <c:pt idx="42">
                  <c:v>1.5058206276790749E-2</c:v>
                </c:pt>
                <c:pt idx="43">
                  <c:v>1.3359626474442977E-2</c:v>
                </c:pt>
                <c:pt idx="44">
                  <c:v>1.1793348257115435E-2</c:v>
                </c:pt>
                <c:pt idx="45">
                  <c:v>1.025000247839399E-2</c:v>
                </c:pt>
                <c:pt idx="46">
                  <c:v>8.526658406938158E-3</c:v>
                </c:pt>
                <c:pt idx="47">
                  <c:v>6.998775531400981E-3</c:v>
                </c:pt>
                <c:pt idx="48">
                  <c:v>5.7266809736149522E-3</c:v>
                </c:pt>
                <c:pt idx="49">
                  <c:v>4.5361586438509441E-3</c:v>
                </c:pt>
                <c:pt idx="50">
                  <c:v>3.4111637205132181E-3</c:v>
                </c:pt>
                <c:pt idx="51">
                  <c:v>2.3503201728255949E-3</c:v>
                </c:pt>
                <c:pt idx="52">
                  <c:v>1.3443144393876646E-3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BPkW_Air!$AA$4</c:f>
              <c:strCache>
                <c:ptCount val="1"/>
                <c:pt idx="0">
                  <c:v>132Xe</c:v>
                </c:pt>
              </c:strCache>
            </c:strRef>
          </c:tx>
          <c:spPr>
            <a:ln>
              <a:solidFill>
                <a:srgbClr val="008000"/>
              </a:solidFill>
            </a:ln>
          </c:spPr>
          <c:marker>
            <c:symbol val="none"/>
          </c:marker>
          <c:xVal>
            <c:numRef>
              <c:f>BPkW_Air!$AD$21:$AD$73</c:f>
              <c:numCache>
                <c:formatCode>0.0</c:formatCode>
                <c:ptCount val="53"/>
                <c:pt idx="0">
                  <c:v>0</c:v>
                </c:pt>
                <c:pt idx="1">
                  <c:v>2.5903875046855197E-2</c:v>
                </c:pt>
                <c:pt idx="2">
                  <c:v>6.2050009255609941</c:v>
                </c:pt>
                <c:pt idx="3">
                  <c:v>9.5646048570628697</c:v>
                </c:pt>
                <c:pt idx="4">
                  <c:v>11.676109678753853</c:v>
                </c:pt>
                <c:pt idx="5">
                  <c:v>13.513534398346449</c:v>
                </c:pt>
                <c:pt idx="6">
                  <c:v>15.443450931184396</c:v>
                </c:pt>
                <c:pt idx="7">
                  <c:v>17.794870635676268</c:v>
                </c:pt>
                <c:pt idx="8">
                  <c:v>21.112884165551829</c:v>
                </c:pt>
                <c:pt idx="9">
                  <c:v>23.459567652571302</c:v>
                </c:pt>
                <c:pt idx="10">
                  <c:v>26.786610544481512</c:v>
                </c:pt>
                <c:pt idx="11">
                  <c:v>28.632876187144827</c:v>
                </c:pt>
                <c:pt idx="12">
                  <c:v>31.1097755293126</c:v>
                </c:pt>
                <c:pt idx="13">
                  <c:v>35.009594637739895</c:v>
                </c:pt>
                <c:pt idx="14">
                  <c:v>38.192953547253673</c:v>
                </c:pt>
                <c:pt idx="15">
                  <c:v>42.615647789876384</c:v>
                </c:pt>
                <c:pt idx="16">
                  <c:v>46.320152964606912</c:v>
                </c:pt>
                <c:pt idx="17">
                  <c:v>63.022175813436071</c:v>
                </c:pt>
                <c:pt idx="18">
                  <c:v>83.717693435621385</c:v>
                </c:pt>
                <c:pt idx="19">
                  <c:v>92.73762031980101</c:v>
                </c:pt>
                <c:pt idx="20">
                  <c:v>100.40800253993037</c:v>
                </c:pt>
                <c:pt idx="21">
                  <c:v>107.12078914176237</c:v>
                </c:pt>
                <c:pt idx="22">
                  <c:v>113.59791144536148</c:v>
                </c:pt>
                <c:pt idx="23">
                  <c:v>119.55313387059437</c:v>
                </c:pt>
                <c:pt idx="24">
                  <c:v>125.45275918391737</c:v>
                </c:pt>
                <c:pt idx="25">
                  <c:v>131.16384787696654</c:v>
                </c:pt>
                <c:pt idx="26">
                  <c:v>136.86151333107034</c:v>
                </c:pt>
                <c:pt idx="27">
                  <c:v>142.49297094836479</c:v>
                </c:pt>
                <c:pt idx="28">
                  <c:v>153.76545511646208</c:v>
                </c:pt>
                <c:pt idx="29">
                  <c:v>165.13784724590647</c:v>
                </c:pt>
                <c:pt idx="30">
                  <c:v>176.77922170616674</c:v>
                </c:pt>
                <c:pt idx="31">
                  <c:v>188.8521441275947</c:v>
                </c:pt>
                <c:pt idx="32">
                  <c:v>201.44818702735162</c:v>
                </c:pt>
                <c:pt idx="33">
                  <c:v>214.67867234081996</c:v>
                </c:pt>
                <c:pt idx="34">
                  <c:v>228.75885277933656</c:v>
                </c:pt>
                <c:pt idx="35">
                  <c:v>244.05332775139789</c:v>
                </c:pt>
                <c:pt idx="36">
                  <c:v>259.89314629381352</c:v>
                </c:pt>
                <c:pt idx="37">
                  <c:v>277.72156804942779</c:v>
                </c:pt>
                <c:pt idx="38">
                  <c:v>295.73550953293619</c:v>
                </c:pt>
                <c:pt idx="39">
                  <c:v>317.20926903933815</c:v>
                </c:pt>
                <c:pt idx="40">
                  <c:v>339.33672832499104</c:v>
                </c:pt>
                <c:pt idx="41">
                  <c:v>365.36278511805779</c:v>
                </c:pt>
                <c:pt idx="42">
                  <c:v>394.15833353521691</c:v>
                </c:pt>
                <c:pt idx="43">
                  <c:v>487.72938046607163</c:v>
                </c:pt>
                <c:pt idx="44">
                  <c:v>635.75330474275597</c:v>
                </c:pt>
                <c:pt idx="45">
                  <c:v>809.74050367103996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  <c:pt idx="52">
                  <c:v>#N/A</c:v>
                </c:pt>
              </c:numCache>
            </c:numRef>
          </c:xVal>
          <c:yVal>
            <c:numRef>
              <c:f>BPkW_Air!$AI$21:$AI$73</c:f>
              <c:numCache>
                <c:formatCode>0.00</c:formatCode>
                <c:ptCount val="53"/>
                <c:pt idx="0" formatCode="0.0">
                  <c:v>0</c:v>
                </c:pt>
                <c:pt idx="1">
                  <c:v>7.2644957203134428</c:v>
                </c:pt>
                <c:pt idx="2">
                  <c:v>2.360084038461538</c:v>
                </c:pt>
                <c:pt idx="3">
                  <c:v>1.5673509947643978</c:v>
                </c:pt>
                <c:pt idx="4">
                  <c:v>1.2286165517241379</c:v>
                </c:pt>
                <c:pt idx="5">
                  <c:v>0.9979652243933862</c:v>
                </c:pt>
                <c:pt idx="6">
                  <c:v>0.81153512426611496</c:v>
                </c:pt>
                <c:pt idx="7">
                  <c:v>0.64493079832929889</c:v>
                </c:pt>
                <c:pt idx="8">
                  <c:v>0.48996432721440014</c:v>
                </c:pt>
                <c:pt idx="9">
                  <c:v>0.41556205641951055</c:v>
                </c:pt>
                <c:pt idx="10">
                  <c:v>0.34012977976351644</c:v>
                </c:pt>
                <c:pt idx="11">
                  <c:v>0.30845992780403908</c:v>
                </c:pt>
                <c:pt idx="12">
                  <c:v>0.274300972332016</c:v>
                </c:pt>
                <c:pt idx="13">
                  <c:v>0.23408594419970616</c:v>
                </c:pt>
                <c:pt idx="14">
                  <c:v>0.20878718199172772</c:v>
                </c:pt>
                <c:pt idx="15">
                  <c:v>0.1820818501731192</c:v>
                </c:pt>
                <c:pt idx="16">
                  <c:v>0.16442143856125599</c:v>
                </c:pt>
                <c:pt idx="17">
                  <c:v>0.1153</c:v>
                </c:pt>
                <c:pt idx="18">
                  <c:v>8.5315092236495887E-2</c:v>
                </c:pt>
                <c:pt idx="19">
                  <c:v>7.7040697206248496E-2</c:v>
                </c:pt>
                <c:pt idx="20">
                  <c:v>7.1109594440850993E-2</c:v>
                </c:pt>
                <c:pt idx="21">
                  <c:v>6.6885173911417323E-2</c:v>
                </c:pt>
                <c:pt idx="22">
                  <c:v>6.3081029690146465E-2</c:v>
                </c:pt>
                <c:pt idx="23">
                  <c:v>6.0208422237720396E-2</c:v>
                </c:pt>
                <c:pt idx="24">
                  <c:v>5.7480159471771937E-2</c:v>
                </c:pt>
                <c:pt idx="25">
                  <c:v>5.5241387228049187E-2</c:v>
                </c:pt>
                <c:pt idx="26">
                  <c:v>5.3072113528457254E-2</c:v>
                </c:pt>
                <c:pt idx="27">
                  <c:v>5.124562954504476E-2</c:v>
                </c:pt>
                <c:pt idx="28">
                  <c:v>4.7905807518214327E-2</c:v>
                </c:pt>
                <c:pt idx="29">
                  <c:v>4.5031933095919192E-2</c:v>
                </c:pt>
                <c:pt idx="30">
                  <c:v>4.2493632349205029E-2</c:v>
                </c:pt>
                <c:pt idx="31">
                  <c:v>4.0218735585715662E-2</c:v>
                </c:pt>
                <c:pt idx="32">
                  <c:v>3.8150899573980109E-2</c:v>
                </c:pt>
                <c:pt idx="33">
                  <c:v>3.6256817933693418E-2</c:v>
                </c:pt>
                <c:pt idx="34">
                  <c:v>3.4502285502864029E-2</c:v>
                </c:pt>
                <c:pt idx="35">
                  <c:v>3.2892968056587965E-2</c:v>
                </c:pt>
                <c:pt idx="36">
                  <c:v>3.1320749029827066E-2</c:v>
                </c:pt>
                <c:pt idx="37">
                  <c:v>2.9883809926151222E-2</c:v>
                </c:pt>
                <c:pt idx="38">
                  <c:v>2.8452492025311756E-2</c:v>
                </c:pt>
                <c:pt idx="39">
                  <c:v>2.7126005772860139E-2</c:v>
                </c:pt>
                <c:pt idx="40">
                  <c:v>2.5808689170942461E-2</c:v>
                </c:pt>
                <c:pt idx="41">
                  <c:v>2.4546059411288127E-2</c:v>
                </c:pt>
                <c:pt idx="42">
                  <c:v>2.329620373067115E-2</c:v>
                </c:pt>
                <c:pt idx="43">
                  <c:v>2.0186564352283009E-2</c:v>
                </c:pt>
                <c:pt idx="44">
                  <c:v>1.6984077680565198E-2</c:v>
                </c:pt>
                <c:pt idx="45">
                  <c:v>1.4595874199511862E-2</c:v>
                </c:pt>
                <c:pt idx="46">
                  <c:v>1.238068587199099E-2</c:v>
                </c:pt>
                <c:pt idx="47">
                  <c:v>1.0326326174825727E-2</c:v>
                </c:pt>
                <c:pt idx="48">
                  <c:v>8.4027122023440683E-3</c:v>
                </c:pt>
                <c:pt idx="49">
                  <c:v>6.5926130768354813E-3</c:v>
                </c:pt>
                <c:pt idx="50">
                  <c:v>4.8787175037647594E-3</c:v>
                </c:pt>
                <c:pt idx="51">
                  <c:v>3.2493641173074158E-3</c:v>
                </c:pt>
                <c:pt idx="52">
                  <c:v>1.6527018992000405E-3</c:v>
                </c:pt>
              </c:numCache>
            </c:numRef>
          </c:yVal>
          <c:smooth val="0"/>
        </c:ser>
        <c:ser>
          <c:idx val="3"/>
          <c:order val="3"/>
          <c:tx>
            <c:strRef>
              <c:f>BPkW_Air!$AK$4</c:f>
              <c:strCache>
                <c:ptCount val="1"/>
                <c:pt idx="0">
                  <c:v>197Au</c:v>
                </c:pt>
              </c:strCache>
            </c:strRef>
          </c:tx>
          <c:spPr>
            <a:ln>
              <a:solidFill>
                <a:srgbClr val="7030A0"/>
              </a:solidFill>
            </a:ln>
          </c:spPr>
          <c:marker>
            <c:symbol val="none"/>
          </c:marker>
          <c:xVal>
            <c:numRef>
              <c:f>BPkW_Air!$AN$21:$AN$73</c:f>
              <c:numCache>
                <c:formatCode>0.0</c:formatCode>
                <c:ptCount val="53"/>
                <c:pt idx="0">
                  <c:v>0</c:v>
                </c:pt>
                <c:pt idx="1">
                  <c:v>3.4101994926456276E-2</c:v>
                </c:pt>
                <c:pt idx="2">
                  <c:v>10.522940251603726</c:v>
                </c:pt>
                <c:pt idx="3">
                  <c:v>14.587814217113344</c:v>
                </c:pt>
                <c:pt idx="4">
                  <c:v>17.281347642686875</c:v>
                </c:pt>
                <c:pt idx="5">
                  <c:v>19.71656429311755</c:v>
                </c:pt>
                <c:pt idx="6">
                  <c:v>22.302599971999854</c:v>
                </c:pt>
                <c:pt idx="7">
                  <c:v>25.404466431976996</c:v>
                </c:pt>
                <c:pt idx="8">
                  <c:v>29.597362942693056</c:v>
                </c:pt>
                <c:pt idx="9">
                  <c:v>32.574229845032889</c:v>
                </c:pt>
                <c:pt idx="10">
                  <c:v>36.956899306707875</c:v>
                </c:pt>
                <c:pt idx="11">
                  <c:v>39.557839130359177</c:v>
                </c:pt>
                <c:pt idx="12">
                  <c:v>43.303941624259608</c:v>
                </c:pt>
                <c:pt idx="13">
                  <c:v>50.042807704308856</c:v>
                </c:pt>
                <c:pt idx="14">
                  <c:v>53.520946618548606</c:v>
                </c:pt>
                <c:pt idx="15">
                  <c:v>58.556994607410338</c:v>
                </c:pt>
                <c:pt idx="16">
                  <c:v>66.998410765927943</c:v>
                </c:pt>
                <c:pt idx="17">
                  <c:v>92.066293964745185</c:v>
                </c:pt>
                <c:pt idx="18">
                  <c:v>116.32600867153903</c:v>
                </c:pt>
                <c:pt idx="19">
                  <c:v>129.52016264104819</c:v>
                </c:pt>
                <c:pt idx="20">
                  <c:v>140.55439953115371</c:v>
                </c:pt>
                <c:pt idx="21">
                  <c:v>150.06573121261201</c:v>
                </c:pt>
                <c:pt idx="22">
                  <c:v>158.97610703686834</c:v>
                </c:pt>
                <c:pt idx="23">
                  <c:v>168.17121951991271</c:v>
                </c:pt>
                <c:pt idx="24">
                  <c:v>176.8722985588131</c:v>
                </c:pt>
                <c:pt idx="25">
                  <c:v>185.52244559157666</c:v>
                </c:pt>
                <c:pt idx="26">
                  <c:v>194.08373478554338</c:v>
                </c:pt>
                <c:pt idx="27">
                  <c:v>202.64502397951011</c:v>
                </c:pt>
                <c:pt idx="28">
                  <c:v>220.15865424302211</c:v>
                </c:pt>
                <c:pt idx="29">
                  <c:v>238.20958747197093</c:v>
                </c:pt>
                <c:pt idx="30">
                  <c:v>257.00265592460624</c:v>
                </c:pt>
                <c:pt idx="31">
                  <c:v>276.79736173055471</c:v>
                </c:pt>
                <c:pt idx="32">
                  <c:v>297.91373145830244</c:v>
                </c:pt>
                <c:pt idx="33">
                  <c:v>321.02359734983736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</c:numCache>
            </c:numRef>
          </c:xVal>
          <c:yVal>
            <c:numRef>
              <c:f>BPkW_Air!$AS$21:$AS$73</c:f>
              <c:numCache>
                <c:formatCode>0.00</c:formatCode>
                <c:ptCount val="53"/>
                <c:pt idx="0" formatCode="0.0">
                  <c:v>0</c:v>
                </c:pt>
                <c:pt idx="1">
                  <c:v>9.504817572559368</c:v>
                </c:pt>
                <c:pt idx="2">
                  <c:v>3.2223987061403507</c:v>
                </c:pt>
                <c:pt idx="3">
                  <c:v>2.3749869934640526</c:v>
                </c:pt>
                <c:pt idx="4">
                  <c:v>1.9284647884660835</c:v>
                </c:pt>
                <c:pt idx="5">
                  <c:v>1.5938862146050672</c:v>
                </c:pt>
                <c:pt idx="6">
                  <c:v>1.3120584754188918</c:v>
                </c:pt>
                <c:pt idx="7">
                  <c:v>1.0577054572098479</c:v>
                </c:pt>
                <c:pt idx="8">
                  <c:v>0.82092416530884293</c:v>
                </c:pt>
                <c:pt idx="9">
                  <c:v>0.70314807325956008</c:v>
                </c:pt>
                <c:pt idx="10">
                  <c:v>0.57790064116793327</c:v>
                </c:pt>
                <c:pt idx="11">
                  <c:v>0.52199185582956376</c:v>
                </c:pt>
                <c:pt idx="12">
                  <c:v>0.45825164505442523</c:v>
                </c:pt>
                <c:pt idx="13">
                  <c:v>0.37585809822505606</c:v>
                </c:pt>
                <c:pt idx="14">
                  <c:v>0.3449861280550271</c:v>
                </c:pt>
                <c:pt idx="15">
                  <c:v>0.30759565280386408</c:v>
                </c:pt>
                <c:pt idx="16">
                  <c:v>0.26081672748075713</c:v>
                </c:pt>
                <c:pt idx="17">
                  <c:v>0.18129999999999999</c:v>
                </c:pt>
                <c:pt idx="18">
                  <c:v>0.14147124680013118</c:v>
                </c:pt>
                <c:pt idx="19">
                  <c:v>0.12692647105337468</c:v>
                </c:pt>
                <c:pt idx="20">
                  <c:v>0.11697121624007065</c:v>
                </c:pt>
                <c:pt idx="21">
                  <c:v>0.10973853301511537</c:v>
                </c:pt>
                <c:pt idx="22">
                  <c:v>0.1038703824992064</c:v>
                </c:pt>
                <c:pt idx="23">
                  <c:v>9.8562020204935805E-2</c:v>
                </c:pt>
                <c:pt idx="24">
                  <c:v>9.4122190936643105E-2</c:v>
                </c:pt>
                <c:pt idx="25">
                  <c:v>9.0034420448378796E-2</c:v>
                </c:pt>
                <c:pt idx="26">
                  <c:v>8.6560864570835783E-2</c:v>
                </c:pt>
                <c:pt idx="27">
                  <c:v>8.3087308693292769E-2</c:v>
                </c:pt>
                <c:pt idx="28">
                  <c:v>7.7325960974819821E-2</c:v>
                </c:pt>
                <c:pt idx="29">
                  <c:v>7.2243434698933809E-2</c:v>
                </c:pt>
                <c:pt idx="30">
                  <c:v>6.7708008077150661E-2</c:v>
                </c:pt>
                <c:pt idx="31">
                  <c:v>6.3609729127186668E-2</c:v>
                </c:pt>
                <c:pt idx="32">
                  <c:v>5.9881884000925173E-2</c:v>
                </c:pt>
                <c:pt idx="33">
                  <c:v>5.6429464006638501E-2</c:v>
                </c:pt>
                <c:pt idx="34">
                  <c:v>5.3192386897284727E-2</c:v>
                </c:pt>
                <c:pt idx="35">
                  <c:v>5.0106200187787796E-2</c:v>
                </c:pt>
                <c:pt idx="36">
                  <c:v>4.7207641377014574E-2</c:v>
                </c:pt>
                <c:pt idx="37">
                  <c:v>4.4348498488862069E-2</c:v>
                </c:pt>
                <c:pt idx="38">
                  <c:v>4.1576620473544407E-2</c:v>
                </c:pt>
                <c:pt idx="39">
                  <c:v>3.8852890256648426E-2</c:v>
                </c:pt>
                <c:pt idx="40">
                  <c:v>3.6189245016179906E-2</c:v>
                </c:pt>
                <c:pt idx="41">
                  <c:v>3.3807586535612361E-2</c:v>
                </c:pt>
                <c:pt idx="42">
                  <c:v>3.1718585838217801E-2</c:v>
                </c:pt>
                <c:pt idx="43">
                  <c:v>2.7020328949681739E-2</c:v>
                </c:pt>
                <c:pt idx="44">
                  <c:v>2.2963029296365827E-2</c:v>
                </c:pt>
                <c:pt idx="45">
                  <c:v>1.9338382418258204E-2</c:v>
                </c:pt>
                <c:pt idx="46">
                  <c:v>1.6091802303364489E-2</c:v>
                </c:pt>
                <c:pt idx="47">
                  <c:v>1.3145206060795335E-2</c:v>
                </c:pt>
                <c:pt idx="48">
                  <c:v>1.0435517603012791E-2</c:v>
                </c:pt>
                <c:pt idx="49">
                  <c:v>7.9234886286200512E-3</c:v>
                </c:pt>
                <c:pt idx="50">
                  <c:v>5.5544607491503578E-3</c:v>
                </c:pt>
                <c:pt idx="51">
                  <c:v>3.2583823667102613E-3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4124800"/>
        <c:axId val="454117352"/>
      </c:scatterChart>
      <c:valAx>
        <c:axId val="454124800"/>
        <c:scaling>
          <c:orientation val="maxMin"/>
          <c:max val="200"/>
          <c:min val="-50"/>
        </c:scaling>
        <c:delete val="0"/>
        <c:axPos val="b"/>
        <c:majorGridlines>
          <c:spPr>
            <a:ln>
              <a:solidFill>
                <a:schemeClr val="tx2">
                  <a:lumMod val="40000"/>
                  <a:lumOff val="60000"/>
                </a:schemeClr>
              </a:solidFill>
              <a:prstDash val="dash"/>
            </a:ln>
          </c:spPr>
        </c:majorGridlines>
        <c:title>
          <c:tx>
            <c:strRef>
              <c:f>BPkW_Air!$C$85</c:f>
              <c:strCache>
                <c:ptCount val="1"/>
                <c:pt idx="0">
                  <c:v>Thick [mm] Air</c:v>
                </c:pt>
              </c:strCache>
            </c:strRef>
          </c:tx>
          <c:layout>
            <c:manualLayout>
              <c:xMode val="edge"/>
              <c:yMode val="edge"/>
              <c:x val="0.32492175925925926"/>
              <c:y val="0.94530462962962958"/>
            </c:manualLayout>
          </c:layout>
          <c:overlay val="0"/>
          <c:spPr>
            <a:solidFill>
              <a:schemeClr val="bg1"/>
            </a:solidFill>
          </c:spPr>
          <c:txPr>
            <a:bodyPr/>
            <a:lstStyle/>
            <a:p>
              <a:pPr>
                <a:defRPr sz="1200">
                  <a:solidFill>
                    <a:schemeClr val="tx1"/>
                  </a:solidFill>
                </a:defRPr>
              </a:pPr>
              <a:endParaRPr lang="ja-JP"/>
            </a:p>
          </c:txPr>
        </c:title>
        <c:numFmt formatCode="0_ " sourceLinked="0"/>
        <c:majorTickMark val="cross"/>
        <c:minorTickMark val="out"/>
        <c:tickLblPos val="nextTo"/>
        <c:txPr>
          <a:bodyPr/>
          <a:lstStyle/>
          <a:p>
            <a:pPr>
              <a:defRPr sz="1100">
                <a:latin typeface="+mn-ea"/>
                <a:ea typeface="+mn-ea"/>
              </a:defRPr>
            </a:pPr>
            <a:endParaRPr lang="ja-JP"/>
          </a:p>
        </c:txPr>
        <c:crossAx val="454117352"/>
        <c:crosses val="autoZero"/>
        <c:crossBetween val="midCat"/>
      </c:valAx>
      <c:valAx>
        <c:axId val="454117352"/>
        <c:scaling>
          <c:logBase val="10"/>
          <c:orientation val="minMax"/>
          <c:min val="1.0000000000000002E-2"/>
        </c:scaling>
        <c:delete val="0"/>
        <c:axPos val="r"/>
        <c:majorGridlines>
          <c:spPr>
            <a:ln>
              <a:solidFill>
                <a:schemeClr val="tx2">
                  <a:lumMod val="40000"/>
                  <a:lumOff val="60000"/>
                </a:schemeClr>
              </a:solidFill>
              <a:prstDash val="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altLang="en-US" sz="1200"/>
                  <a:t>LETn </a:t>
                </a:r>
                <a:r>
                  <a:rPr lang="en-US" altLang="en-US" sz="1200">
                    <a:solidFill>
                      <a:srgbClr val="FF0000"/>
                    </a:solidFill>
                  </a:rPr>
                  <a:t>in Air </a:t>
                </a:r>
                <a:r>
                  <a:rPr lang="en-US" altLang="en-US" sz="1200" b="0">
                    <a:solidFill>
                      <a:schemeClr val="tx1"/>
                    </a:solidFill>
                  </a:rPr>
                  <a:t>[MeV/(mg/cm2)]</a:t>
                </a:r>
              </a:p>
            </c:rich>
          </c:tx>
          <c:layout>
            <c:manualLayout>
              <c:xMode val="edge"/>
              <c:yMode val="edge"/>
              <c:x val="0.94787563513130357"/>
              <c:y val="8.3963039592056296E-2"/>
            </c:manualLayout>
          </c:layout>
          <c:overlay val="0"/>
        </c:title>
        <c:numFmt formatCode="General" sourceLinked="0"/>
        <c:majorTickMark val="cross"/>
        <c:minorTickMark val="out"/>
        <c:tickLblPos val="nextTo"/>
        <c:txPr>
          <a:bodyPr/>
          <a:lstStyle/>
          <a:p>
            <a:pPr>
              <a:defRPr sz="1100"/>
            </a:pPr>
            <a:endParaRPr lang="ja-JP"/>
          </a:p>
        </c:txPr>
        <c:crossAx val="454124800"/>
        <c:crossesAt val="-100"/>
        <c:crossBetween val="midCat"/>
      </c:valAx>
    </c:plotArea>
    <c:legend>
      <c:legendPos val="r"/>
      <c:layout>
        <c:manualLayout>
          <c:xMode val="edge"/>
          <c:yMode val="edge"/>
          <c:x val="8.6889654520616214E-2"/>
          <c:y val="0.14271005916901672"/>
          <c:w val="0.22996875"/>
          <c:h val="0.15542407407407408"/>
        </c:manualLayout>
      </c:layout>
      <c:overlay val="0"/>
      <c:spPr>
        <a:solidFill>
          <a:schemeClr val="bg1"/>
        </a:solidFill>
      </c:sp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50">
          <a:latin typeface="+mn-ea"/>
          <a:ea typeface="+mn-ea"/>
        </a:defRPr>
      </a:pPr>
      <a:endParaRPr lang="ja-JP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LETcoef!$AE$20</c:f>
          <c:strCache>
            <c:ptCount val="1"/>
            <c:pt idx="0">
              <c:v>換算深さ 15.0um で LET=39.8</c:v>
            </c:pt>
          </c:strCache>
        </c:strRef>
      </c:tx>
      <c:layout>
        <c:manualLayout>
          <c:xMode val="edge"/>
          <c:yMode val="edge"/>
          <c:x val="3.6173358861652696E-2"/>
          <c:y val="2.973128311202387E-2"/>
        </c:manualLayout>
      </c:layout>
      <c:overlay val="0"/>
      <c:txPr>
        <a:bodyPr/>
        <a:lstStyle/>
        <a:p>
          <a:pPr>
            <a:defRPr sz="1050"/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22737283031757585"/>
          <c:y val="0.2947799951424066"/>
          <c:w val="0.68677328558903306"/>
          <c:h val="0.47914713062116376"/>
        </c:manualLayout>
      </c:layout>
      <c:scatterChart>
        <c:scatterStyle val="smoothMarker"/>
        <c:varyColors val="0"/>
        <c:ser>
          <c:idx val="0"/>
          <c:order val="0"/>
          <c:tx>
            <c:v>気温変化</c:v>
          </c:tx>
          <c:spPr>
            <a:ln w="22225">
              <a:solidFill>
                <a:srgbClr val="FF0000"/>
              </a:solidFill>
            </a:ln>
          </c:spPr>
          <c:marker>
            <c:symbol val="circle"/>
            <c:size val="6"/>
            <c:spPr>
              <a:noFill/>
              <a:ln>
                <a:solidFill>
                  <a:srgbClr val="FF0000"/>
                </a:solidFill>
              </a:ln>
            </c:spPr>
          </c:marker>
          <c:xVal>
            <c:numRef>
              <c:f>LETcoef!$G$27:$G$31</c:f>
              <c:numCache>
                <c:formatCode>0.0_ </c:formatCode>
                <c:ptCount val="5"/>
                <c:pt idx="0">
                  <c:v>17.5</c:v>
                </c:pt>
                <c:pt idx="1">
                  <c:v>18.5</c:v>
                </c:pt>
                <c:pt idx="2">
                  <c:v>19.5</c:v>
                </c:pt>
                <c:pt idx="3">
                  <c:v>20.5</c:v>
                </c:pt>
                <c:pt idx="4">
                  <c:v>21.5</c:v>
                </c:pt>
              </c:numCache>
            </c:numRef>
          </c:xVal>
          <c:yVal>
            <c:numRef>
              <c:f>LETcoef!$O$27:$O$31</c:f>
              <c:numCache>
                <c:formatCode>0.000</c:formatCode>
                <c:ptCount val="5"/>
                <c:pt idx="0">
                  <c:v>39.957270394128436</c:v>
                </c:pt>
                <c:pt idx="1">
                  <c:v>39.879497411215624</c:v>
                </c:pt>
                <c:pt idx="2">
                  <c:v>39.799999999999997</c:v>
                </c:pt>
                <c:pt idx="3">
                  <c:v>39.721044032075476</c:v>
                </c:pt>
                <c:pt idx="4">
                  <c:v>39.642623994698546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4125584"/>
        <c:axId val="454126760"/>
      </c:scatterChart>
      <c:scatterChart>
        <c:scatterStyle val="smoothMarker"/>
        <c:varyColors val="0"/>
        <c:ser>
          <c:idx val="1"/>
          <c:order val="1"/>
          <c:tx>
            <c:v>気圧変化</c:v>
          </c:tx>
          <c:spPr>
            <a:ln w="22225">
              <a:solidFill>
                <a:srgbClr val="0000FF"/>
              </a:solidFill>
              <a:prstDash val="dash"/>
            </a:ln>
          </c:spPr>
          <c:marker>
            <c:symbol val="triangle"/>
            <c:size val="6"/>
            <c:spPr>
              <a:noFill/>
              <a:ln>
                <a:solidFill>
                  <a:srgbClr val="0000FF"/>
                </a:solidFill>
              </a:ln>
            </c:spPr>
          </c:marker>
          <c:xVal>
            <c:numRef>
              <c:f>LETcoef!$G$39:$G$43</c:f>
              <c:numCache>
                <c:formatCode>0_ </c:formatCode>
                <c:ptCount val="5"/>
                <c:pt idx="0">
                  <c:v>98500</c:v>
                </c:pt>
                <c:pt idx="1">
                  <c:v>99500</c:v>
                </c:pt>
                <c:pt idx="2">
                  <c:v>100500</c:v>
                </c:pt>
                <c:pt idx="3">
                  <c:v>101500</c:v>
                </c:pt>
                <c:pt idx="4">
                  <c:v>102500</c:v>
                </c:pt>
              </c:numCache>
            </c:numRef>
          </c:xVal>
          <c:yVal>
            <c:numRef>
              <c:f>LETcoef!$O$39:$O$43</c:f>
              <c:numCache>
                <c:formatCode>0.000</c:formatCode>
                <c:ptCount val="5"/>
                <c:pt idx="0">
                  <c:v>39.319888388872897</c:v>
                </c:pt>
                <c:pt idx="1">
                  <c:v>39.568152510867812</c:v>
                </c:pt>
                <c:pt idx="2">
                  <c:v>39.799999999999997</c:v>
                </c:pt>
                <c:pt idx="3">
                  <c:v>40.021162104731701</c:v>
                </c:pt>
                <c:pt idx="4">
                  <c:v>40.228074743950188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4128328"/>
        <c:axId val="454127152"/>
      </c:scatterChart>
      <c:valAx>
        <c:axId val="454125584"/>
        <c:scaling>
          <c:orientation val="minMax"/>
          <c:min val="15"/>
        </c:scaling>
        <c:delete val="0"/>
        <c:axPos val="b"/>
        <c:majorGridlines>
          <c:spPr>
            <a:ln>
              <a:solidFill>
                <a:schemeClr val="tx2">
                  <a:lumMod val="40000"/>
                  <a:lumOff val="60000"/>
                </a:schemeClr>
              </a:solidFill>
              <a:prstDash val="dash"/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ja-JP">
                    <a:solidFill>
                      <a:srgbClr val="FF0000"/>
                    </a:solidFill>
                  </a:rPr>
                  <a:t>気温</a:t>
                </a:r>
                <a:r>
                  <a:rPr lang="ja-JP"/>
                  <a:t> </a:t>
                </a:r>
                <a:r>
                  <a:rPr lang="en-US"/>
                  <a:t>[</a:t>
                </a:r>
                <a:r>
                  <a:rPr lang="ja-JP"/>
                  <a:t>℃</a:t>
                </a:r>
                <a:r>
                  <a:rPr lang="en-US"/>
                  <a:t>]</a:t>
                </a:r>
                <a:endParaRPr lang="ja-JP"/>
              </a:p>
            </c:rich>
          </c:tx>
          <c:layout>
            <c:manualLayout>
              <c:xMode val="edge"/>
              <c:yMode val="edge"/>
              <c:x val="0.47456909266709824"/>
              <c:y val="0.86490364911798112"/>
            </c:manualLayout>
          </c:layout>
          <c:overlay val="0"/>
          <c:spPr>
            <a:solidFill>
              <a:schemeClr val="bg1"/>
            </a:solidFill>
          </c:spPr>
        </c:title>
        <c:numFmt formatCode="0_ " sourceLinked="0"/>
        <c:majorTickMark val="cross"/>
        <c:minorTickMark val="out"/>
        <c:tickLblPos val="nextTo"/>
        <c:crossAx val="454126760"/>
        <c:crosses val="autoZero"/>
        <c:crossBetween val="midCat"/>
        <c:majorUnit val="2"/>
        <c:minorUnit val="0.5"/>
      </c:valAx>
      <c:valAx>
        <c:axId val="454126760"/>
        <c:scaling>
          <c:orientation val="minMax"/>
        </c:scaling>
        <c:delete val="0"/>
        <c:axPos val="l"/>
        <c:majorGridlines>
          <c:spPr>
            <a:ln>
              <a:solidFill>
                <a:schemeClr val="tx2">
                  <a:lumMod val="40000"/>
                  <a:lumOff val="60000"/>
                </a:schemeClr>
              </a:solidFill>
              <a:prstDash val="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altLang="ja-JP"/>
                  <a:t>LET in Si</a:t>
                </a:r>
              </a:p>
            </c:rich>
          </c:tx>
          <c:layout>
            <c:manualLayout>
              <c:xMode val="edge"/>
              <c:yMode val="edge"/>
              <c:x val="1.7645066683277071E-2"/>
              <c:y val="0.40259951003528638"/>
            </c:manualLayout>
          </c:layout>
          <c:overlay val="0"/>
        </c:title>
        <c:numFmt formatCode="0.00_ " sourceLinked="0"/>
        <c:majorTickMark val="cross"/>
        <c:minorTickMark val="out"/>
        <c:tickLblPos val="nextTo"/>
        <c:crossAx val="454125584"/>
        <c:crosses val="autoZero"/>
        <c:crossBetween val="midCat"/>
      </c:valAx>
      <c:valAx>
        <c:axId val="454127152"/>
        <c:scaling>
          <c:orientation val="minMax"/>
        </c:scaling>
        <c:delete val="1"/>
        <c:axPos val="r"/>
        <c:numFmt formatCode="0.000" sourceLinked="1"/>
        <c:majorTickMark val="out"/>
        <c:minorTickMark val="none"/>
        <c:tickLblPos val="none"/>
        <c:crossAx val="454128328"/>
        <c:crosses val="max"/>
        <c:crossBetween val="midCat"/>
      </c:valAx>
      <c:valAx>
        <c:axId val="454128328"/>
        <c:scaling>
          <c:orientation val="minMax"/>
        </c:scaling>
        <c:delete val="0"/>
        <c:axPos val="t"/>
        <c:title>
          <c:tx>
            <c:rich>
              <a:bodyPr/>
              <a:lstStyle/>
              <a:p>
                <a:pPr>
                  <a:defRPr/>
                </a:pPr>
                <a:r>
                  <a:rPr lang="ja-JP">
                    <a:solidFill>
                      <a:srgbClr val="0000FF"/>
                    </a:solidFill>
                  </a:rPr>
                  <a:t>気圧</a:t>
                </a:r>
                <a:r>
                  <a:rPr lang="ja-JP"/>
                  <a:t> </a:t>
                </a:r>
                <a:r>
                  <a:rPr lang="en-US"/>
                  <a:t>[Pa]</a:t>
                </a:r>
                <a:endParaRPr lang="ja-JP"/>
              </a:p>
            </c:rich>
          </c:tx>
          <c:layout>
            <c:manualLayout>
              <c:xMode val="edge"/>
              <c:yMode val="edge"/>
              <c:x val="0.48357313031080223"/>
              <c:y val="0.12490852261185881"/>
            </c:manualLayout>
          </c:layout>
          <c:overlay val="0"/>
          <c:spPr>
            <a:solidFill>
              <a:schemeClr val="bg1"/>
            </a:solidFill>
          </c:spPr>
        </c:title>
        <c:numFmt formatCode="0_ " sourceLinked="1"/>
        <c:majorTickMark val="out"/>
        <c:minorTickMark val="none"/>
        <c:tickLblPos val="nextTo"/>
        <c:crossAx val="454127152"/>
        <c:crosses val="max"/>
        <c:crossBetween val="midCat"/>
      </c:valAx>
    </c:plotArea>
    <c:legend>
      <c:legendPos val="r"/>
      <c:layout>
        <c:manualLayout>
          <c:xMode val="edge"/>
          <c:yMode val="edge"/>
          <c:x val="0.71913030303030312"/>
          <c:y val="7.544772740553235E-4"/>
          <c:w val="0.26900000000000002"/>
          <c:h val="0.13193432930929122"/>
        </c:manualLayout>
      </c:layout>
      <c:overlay val="0"/>
      <c:spPr>
        <a:solidFill>
          <a:schemeClr val="bg1"/>
        </a:solidFill>
      </c:sp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50">
          <a:latin typeface="+mn-ea"/>
          <a:ea typeface="+mn-ea"/>
        </a:defRPr>
      </a:pPr>
      <a:endParaRPr lang="ja-JP"/>
    </a:p>
  </c:tx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LETcoef!$AE$20</c:f>
          <c:strCache>
            <c:ptCount val="1"/>
            <c:pt idx="0">
              <c:v>換算深さ 15.0um で LET=39.8</c:v>
            </c:pt>
          </c:strCache>
        </c:strRef>
      </c:tx>
      <c:layout>
        <c:manualLayout>
          <c:xMode val="edge"/>
          <c:yMode val="edge"/>
          <c:x val="3.6173358861652696E-2"/>
          <c:y val="2.973128311202387E-2"/>
        </c:manualLayout>
      </c:layout>
      <c:overlay val="0"/>
      <c:txPr>
        <a:bodyPr/>
        <a:lstStyle/>
        <a:p>
          <a:pPr>
            <a:defRPr sz="1050"/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22082274852771167"/>
          <c:y val="0.29289404598409896"/>
          <c:w val="0.68352131255112492"/>
          <c:h val="0.50856500768213542"/>
        </c:manualLayout>
      </c:layout>
      <c:scatterChart>
        <c:scatterStyle val="smoothMarker"/>
        <c:varyColors val="0"/>
        <c:ser>
          <c:idx val="0"/>
          <c:order val="0"/>
          <c:tx>
            <c:v>空気距離</c:v>
          </c:tx>
          <c:spPr>
            <a:ln w="22225">
              <a:solidFill>
                <a:srgbClr val="FF0000"/>
              </a:solidFill>
            </a:ln>
          </c:spPr>
          <c:marker>
            <c:symbol val="circle"/>
            <c:size val="6"/>
            <c:spPr>
              <a:noFill/>
              <a:ln>
                <a:solidFill>
                  <a:srgbClr val="FF0000"/>
                </a:solidFill>
              </a:ln>
            </c:spPr>
          </c:marker>
          <c:xVal>
            <c:numRef>
              <c:f>LETcoef!$G$51:$G$55</c:f>
              <c:numCache>
                <c:formatCode>0_ </c:formatCode>
                <c:ptCount val="5"/>
                <c:pt idx="0">
                  <c:v>295</c:v>
                </c:pt>
                <c:pt idx="1">
                  <c:v>300</c:v>
                </c:pt>
                <c:pt idx="2">
                  <c:v>305</c:v>
                </c:pt>
                <c:pt idx="3">
                  <c:v>310</c:v>
                </c:pt>
                <c:pt idx="4">
                  <c:v>315</c:v>
                </c:pt>
              </c:numCache>
            </c:numRef>
          </c:xVal>
          <c:yVal>
            <c:numRef>
              <c:f>LETcoef!$O$51:$O$55</c:f>
              <c:numCache>
                <c:formatCode>0.000</c:formatCode>
                <c:ptCount val="5"/>
                <c:pt idx="0">
                  <c:v>38.988951914025577</c:v>
                </c:pt>
                <c:pt idx="1">
                  <c:v>39.407404318463747</c:v>
                </c:pt>
                <c:pt idx="2">
                  <c:v>39.799999999999997</c:v>
                </c:pt>
                <c:pt idx="3">
                  <c:v>40.155174891052191</c:v>
                </c:pt>
                <c:pt idx="4">
                  <c:v>40.458017163845312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4129896"/>
        <c:axId val="454132640"/>
      </c:scatterChart>
      <c:scatterChart>
        <c:scatterStyle val="smoothMarker"/>
        <c:varyColors val="0"/>
        <c:ser>
          <c:idx val="1"/>
          <c:order val="1"/>
          <c:tx>
            <c:v>Ebeam</c:v>
          </c:tx>
          <c:spPr>
            <a:ln w="22225">
              <a:solidFill>
                <a:srgbClr val="0000FF"/>
              </a:solidFill>
              <a:prstDash val="dash"/>
            </a:ln>
          </c:spPr>
          <c:marker>
            <c:symbol val="triangle"/>
            <c:size val="6"/>
            <c:spPr>
              <a:noFill/>
              <a:ln>
                <a:solidFill>
                  <a:srgbClr val="0000FF"/>
                </a:solidFill>
              </a:ln>
            </c:spPr>
          </c:marker>
          <c:xVal>
            <c:numRef>
              <c:f>LETcoef!$G$63:$G$67</c:f>
              <c:numCache>
                <c:formatCode>0.0_ </c:formatCode>
                <c:ptCount val="5"/>
                <c:pt idx="0">
                  <c:v>449.46252983076783</c:v>
                </c:pt>
                <c:pt idx="1">
                  <c:v>459.46252983076783</c:v>
                </c:pt>
                <c:pt idx="2">
                  <c:v>469.46252983076783</c:v>
                </c:pt>
                <c:pt idx="3">
                  <c:v>479.46252983076783</c:v>
                </c:pt>
                <c:pt idx="4">
                  <c:v>489.46252983076783</c:v>
                </c:pt>
              </c:numCache>
            </c:numRef>
          </c:xVal>
          <c:yVal>
            <c:numRef>
              <c:f>LETcoef!$O$63:$O$67</c:f>
              <c:numCache>
                <c:formatCode>0.000</c:formatCode>
                <c:ptCount val="5"/>
                <c:pt idx="0">
                  <c:v>40.082340223069849</c:v>
                </c:pt>
                <c:pt idx="1">
                  <c:v>39.948256441302924</c:v>
                </c:pt>
                <c:pt idx="2">
                  <c:v>39.799999999999997</c:v>
                </c:pt>
                <c:pt idx="3">
                  <c:v>39.650497357933574</c:v>
                </c:pt>
                <c:pt idx="4">
                  <c:v>39.494653785602807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4130288"/>
        <c:axId val="454138912"/>
      </c:scatterChart>
      <c:valAx>
        <c:axId val="454129896"/>
        <c:scaling>
          <c:orientation val="minMax"/>
        </c:scaling>
        <c:delete val="0"/>
        <c:axPos val="b"/>
        <c:majorGridlines>
          <c:spPr>
            <a:ln>
              <a:solidFill>
                <a:schemeClr val="tx2">
                  <a:lumMod val="40000"/>
                  <a:lumOff val="60000"/>
                </a:schemeClr>
              </a:solidFill>
              <a:prstDash val="dash"/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ja-JP" altLang="en-US">
                    <a:solidFill>
                      <a:srgbClr val="FF0000"/>
                    </a:solidFill>
                  </a:rPr>
                  <a:t>空気距離 </a:t>
                </a:r>
                <a:r>
                  <a:rPr lang="en-US"/>
                  <a:t>[mm]</a:t>
                </a:r>
                <a:endParaRPr lang="ja-JP"/>
              </a:p>
            </c:rich>
          </c:tx>
          <c:layout>
            <c:manualLayout>
              <c:xMode val="edge"/>
              <c:yMode val="edge"/>
              <c:x val="0.41845610160588187"/>
              <c:y val="0.88938786672747816"/>
            </c:manualLayout>
          </c:layout>
          <c:overlay val="0"/>
          <c:spPr>
            <a:solidFill>
              <a:schemeClr val="bg1"/>
            </a:solidFill>
          </c:spPr>
        </c:title>
        <c:numFmt formatCode="0_ " sourceLinked="0"/>
        <c:majorTickMark val="cross"/>
        <c:minorTickMark val="out"/>
        <c:tickLblPos val="nextTo"/>
        <c:crossAx val="454132640"/>
        <c:crosses val="autoZero"/>
        <c:crossBetween val="midCat"/>
        <c:majorUnit val="5"/>
        <c:minorUnit val="1"/>
      </c:valAx>
      <c:valAx>
        <c:axId val="454132640"/>
        <c:scaling>
          <c:orientation val="minMax"/>
        </c:scaling>
        <c:delete val="0"/>
        <c:axPos val="l"/>
        <c:majorGridlines>
          <c:spPr>
            <a:ln>
              <a:solidFill>
                <a:schemeClr val="tx2">
                  <a:lumMod val="40000"/>
                  <a:lumOff val="60000"/>
                </a:schemeClr>
              </a:solidFill>
              <a:prstDash val="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altLang="ja-JP"/>
                  <a:t>LET in Si</a:t>
                </a:r>
              </a:p>
            </c:rich>
          </c:tx>
          <c:layout>
            <c:manualLayout>
              <c:xMode val="edge"/>
              <c:yMode val="edge"/>
              <c:x val="2.0969023439994891E-2"/>
              <c:y val="0.3724521628696002"/>
            </c:manualLayout>
          </c:layout>
          <c:overlay val="0"/>
        </c:title>
        <c:numFmt formatCode="0.00_ " sourceLinked="0"/>
        <c:majorTickMark val="cross"/>
        <c:minorTickMark val="out"/>
        <c:tickLblPos val="nextTo"/>
        <c:crossAx val="454129896"/>
        <c:crosses val="autoZero"/>
        <c:crossBetween val="midCat"/>
      </c:valAx>
      <c:valAx>
        <c:axId val="454138912"/>
        <c:scaling>
          <c:orientation val="minMax"/>
        </c:scaling>
        <c:delete val="1"/>
        <c:axPos val="r"/>
        <c:numFmt formatCode="0.000" sourceLinked="1"/>
        <c:majorTickMark val="out"/>
        <c:minorTickMark val="none"/>
        <c:tickLblPos val="none"/>
        <c:crossAx val="454130288"/>
        <c:crosses val="max"/>
        <c:crossBetween val="midCat"/>
      </c:valAx>
      <c:valAx>
        <c:axId val="454130288"/>
        <c:scaling>
          <c:orientation val="minMax"/>
        </c:scaling>
        <c:delete val="0"/>
        <c:axPos val="t"/>
        <c:title>
          <c:tx>
            <c:rich>
              <a:bodyPr/>
              <a:lstStyle/>
              <a:p>
                <a:pPr>
                  <a:defRPr/>
                </a:pPr>
                <a:r>
                  <a:rPr lang="en-US" altLang="ja-JP">
                    <a:solidFill>
                      <a:srgbClr val="0000FF"/>
                    </a:solidFill>
                  </a:rPr>
                  <a:t>Ebeam</a:t>
                </a:r>
                <a:r>
                  <a:rPr lang="ja-JP"/>
                  <a:t> </a:t>
                </a:r>
                <a:r>
                  <a:rPr lang="en-US"/>
                  <a:t>[MeV]</a:t>
                </a:r>
                <a:endParaRPr lang="ja-JP"/>
              </a:p>
            </c:rich>
          </c:tx>
          <c:layout>
            <c:manualLayout>
              <c:xMode val="edge"/>
              <c:yMode val="edge"/>
              <c:x val="0.44989784174405789"/>
              <c:y val="0.12723212958645569"/>
            </c:manualLayout>
          </c:layout>
          <c:overlay val="0"/>
          <c:spPr>
            <a:solidFill>
              <a:schemeClr val="bg1"/>
            </a:solidFill>
          </c:spPr>
        </c:title>
        <c:numFmt formatCode="0_ " sourceLinked="0"/>
        <c:majorTickMark val="out"/>
        <c:minorTickMark val="none"/>
        <c:tickLblPos val="nextTo"/>
        <c:crossAx val="454138912"/>
        <c:crosses val="max"/>
        <c:crossBetween val="midCat"/>
      </c:valAx>
    </c:plotArea>
    <c:legend>
      <c:legendPos val="r"/>
      <c:layout>
        <c:manualLayout>
          <c:xMode val="edge"/>
          <c:yMode val="edge"/>
          <c:x val="0.71868510101010097"/>
          <c:y val="1.7741953292277013E-2"/>
          <c:w val="0.25620808080808083"/>
          <c:h val="0.13193432930929122"/>
        </c:manualLayout>
      </c:layout>
      <c:overlay val="0"/>
      <c:spPr>
        <a:solidFill>
          <a:schemeClr val="bg1"/>
        </a:solidFill>
      </c:sp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50">
          <a:latin typeface="+mn-ea"/>
          <a:ea typeface="+mn-ea"/>
        </a:defRPr>
      </a:pPr>
      <a:endParaRPr lang="ja-JP"/>
    </a:p>
  </c:tx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8.xml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5" Type="http://schemas.openxmlformats.org/officeDocument/2006/relationships/chart" Target="../charts/chart10.xml"/><Relationship Id="rId4" Type="http://schemas.openxmlformats.org/officeDocument/2006/relationships/chart" Target="../charts/chart9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173490</xdr:colOff>
      <xdr:row>78</xdr:row>
      <xdr:rowOff>171791</xdr:rowOff>
    </xdr:from>
    <xdr:to>
      <xdr:col>14</xdr:col>
      <xdr:colOff>98383</xdr:colOff>
      <xdr:row>104</xdr:row>
      <xdr:rowOff>157916</xdr:rowOff>
    </xdr:to>
    <xdr:graphicFrame macro="">
      <xdr:nvGraphicFramePr>
        <xdr:cNvPr id="2" name="グラフ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24</xdr:col>
      <xdr:colOff>389506</xdr:colOff>
      <xdr:row>79</xdr:row>
      <xdr:rowOff>45925</xdr:rowOff>
    </xdr:from>
    <xdr:to>
      <xdr:col>34</xdr:col>
      <xdr:colOff>106889</xdr:colOff>
      <xdr:row>105</xdr:row>
      <xdr:rowOff>32050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34</xdr:col>
      <xdr:colOff>185398</xdr:colOff>
      <xdr:row>79</xdr:row>
      <xdr:rowOff>42525</xdr:rowOff>
    </xdr:from>
    <xdr:to>
      <xdr:col>43</xdr:col>
      <xdr:colOff>146009</xdr:colOff>
      <xdr:row>105</xdr:row>
      <xdr:rowOff>28650</xdr:rowOff>
    </xdr:to>
    <xdr:graphicFrame macro="">
      <xdr:nvGraphicFramePr>
        <xdr:cNvPr id="4" name="グラフ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14</xdr:col>
      <xdr:colOff>176893</xdr:colOff>
      <xdr:row>105</xdr:row>
      <xdr:rowOff>27215</xdr:rowOff>
    </xdr:from>
    <xdr:to>
      <xdr:col>24</xdr:col>
      <xdr:colOff>278679</xdr:colOff>
      <xdr:row>131</xdr:row>
      <xdr:rowOff>13340</xdr:rowOff>
    </xdr:to>
    <xdr:graphicFrame macro="">
      <xdr:nvGraphicFramePr>
        <xdr:cNvPr id="6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15</xdr:col>
      <xdr:colOff>40823</xdr:colOff>
      <xdr:row>79</xdr:row>
      <xdr:rowOff>0</xdr:rowOff>
    </xdr:from>
    <xdr:to>
      <xdr:col>24</xdr:col>
      <xdr:colOff>346716</xdr:colOff>
      <xdr:row>104</xdr:row>
      <xdr:rowOff>163018</xdr:rowOff>
    </xdr:to>
    <xdr:graphicFrame macro="">
      <xdr:nvGraphicFramePr>
        <xdr:cNvPr id="7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295955</xdr:colOff>
      <xdr:row>78</xdr:row>
      <xdr:rowOff>117362</xdr:rowOff>
    </xdr:from>
    <xdr:to>
      <xdr:col>16</xdr:col>
      <xdr:colOff>411348</xdr:colOff>
      <xdr:row>104</xdr:row>
      <xdr:rowOff>103487</xdr:rowOff>
    </xdr:to>
    <xdr:graphicFrame macro="">
      <xdr:nvGraphicFramePr>
        <xdr:cNvPr id="2" name="グラフ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27</xdr:col>
      <xdr:colOff>185398</xdr:colOff>
      <xdr:row>79</xdr:row>
      <xdr:rowOff>45925</xdr:rowOff>
    </xdr:from>
    <xdr:to>
      <xdr:col>36</xdr:col>
      <xdr:colOff>202138</xdr:colOff>
      <xdr:row>105</xdr:row>
      <xdr:rowOff>32050</xdr:rowOff>
    </xdr:to>
    <xdr:graphicFrame macro="">
      <xdr:nvGraphicFramePr>
        <xdr:cNvPr id="5" name="グラフ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36</xdr:col>
      <xdr:colOff>348684</xdr:colOff>
      <xdr:row>79</xdr:row>
      <xdr:rowOff>28917</xdr:rowOff>
    </xdr:from>
    <xdr:to>
      <xdr:col>44</xdr:col>
      <xdr:colOff>295688</xdr:colOff>
      <xdr:row>105</xdr:row>
      <xdr:rowOff>15042</xdr:rowOff>
    </xdr:to>
    <xdr:graphicFrame macro="">
      <xdr:nvGraphicFramePr>
        <xdr:cNvPr id="4" name="グラフ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17</xdr:col>
      <xdr:colOff>367392</xdr:colOff>
      <xdr:row>78</xdr:row>
      <xdr:rowOff>149678</xdr:rowOff>
    </xdr:from>
    <xdr:to>
      <xdr:col>26</xdr:col>
      <xdr:colOff>401142</xdr:colOff>
      <xdr:row>104</xdr:row>
      <xdr:rowOff>135803</xdr:rowOff>
    </xdr:to>
    <xdr:graphicFrame macro="">
      <xdr:nvGraphicFramePr>
        <xdr:cNvPr id="6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17</xdr:col>
      <xdr:colOff>326572</xdr:colOff>
      <xdr:row>105</xdr:row>
      <xdr:rowOff>122465</xdr:rowOff>
    </xdr:from>
    <xdr:to>
      <xdr:col>26</xdr:col>
      <xdr:colOff>360322</xdr:colOff>
      <xdr:row>131</xdr:row>
      <xdr:rowOff>108590</xdr:rowOff>
    </xdr:to>
    <xdr:graphicFrame macro="">
      <xdr:nvGraphicFramePr>
        <xdr:cNvPr id="7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33</xdr:col>
      <xdr:colOff>23815</xdr:colOff>
      <xdr:row>2</xdr:row>
      <xdr:rowOff>68005</xdr:rowOff>
    </xdr:from>
    <xdr:to>
      <xdr:col>38</xdr:col>
      <xdr:colOff>531002</xdr:colOff>
      <xdr:row>17</xdr:row>
      <xdr:rowOff>40067</xdr:rowOff>
    </xdr:to>
    <xdr:graphicFrame macro="">
      <xdr:nvGraphicFramePr>
        <xdr:cNvPr id="2" name="グラフ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33</xdr:col>
      <xdr:colOff>27444</xdr:colOff>
      <xdr:row>17</xdr:row>
      <xdr:rowOff>166686</xdr:rowOff>
    </xdr:from>
    <xdr:to>
      <xdr:col>38</xdr:col>
      <xdr:colOff>534631</xdr:colOff>
      <xdr:row>32</xdr:row>
      <xdr:rowOff>150655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Library" Target="SRIMfit.xla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erLog"/>
      <sheetName val="FncHelp"/>
      <sheetName val="FncLst1_J"/>
      <sheetName val="FncLst2a_J "/>
      <sheetName val="FncLst2b_J"/>
    </sheetNames>
    <definedNames>
      <definedName name="srE2LETe"/>
      <definedName name="srE2LETn"/>
      <definedName name="srE2LETt"/>
      <definedName name="srE2Rng"/>
      <definedName name="srElmNm"/>
      <definedName name="srEnew"/>
      <definedName name="srEnewGas"/>
      <definedName name="srInfoIonA"/>
      <definedName name="srInfoIonZ"/>
      <definedName name="srLETt2E"/>
      <definedName name="srMaxLETt"/>
      <definedName name="srRng2E"/>
      <definedName name="srThkStd"/>
    </definedNames>
    <sheetDataSet>
      <sheetData sheetId="0"/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AP96"/>
  <sheetViews>
    <sheetView tabSelected="1" view="pageBreakPreview" zoomScale="80" zoomScaleNormal="30" zoomScaleSheetLayoutView="80" workbookViewId="0">
      <pane ySplit="5340" topLeftCell="A77"/>
      <selection activeCell="D17" sqref="D17"/>
      <selection pane="bottomLeft" activeCell="C94" sqref="C94"/>
    </sheetView>
  </sheetViews>
  <sheetFormatPr defaultRowHeight="13.5"/>
  <cols>
    <col min="1" max="1" width="1.25" style="24" customWidth="1"/>
    <col min="2" max="2" width="6.25" style="24" customWidth="1"/>
    <col min="3" max="3" width="7.125" style="24" customWidth="1"/>
    <col min="4" max="4" width="3.875" style="24" customWidth="1"/>
    <col min="5" max="5" width="3.75" style="24" customWidth="1"/>
    <col min="6" max="6" width="5.875" style="24" customWidth="1"/>
    <col min="7" max="7" width="6.125" style="24" customWidth="1"/>
    <col min="8" max="8" width="6.5" style="24" customWidth="1"/>
    <col min="9" max="9" width="8.625" style="24" customWidth="1"/>
    <col min="10" max="11" width="6.5" style="22" customWidth="1"/>
    <col min="12" max="12" width="6.625" style="22" customWidth="1"/>
    <col min="13" max="13" width="5.875" style="24" customWidth="1"/>
    <col min="14" max="14" width="5.25" style="24" customWidth="1"/>
    <col min="15" max="15" width="2.625" style="24" customWidth="1"/>
    <col min="16" max="16" width="6.125" style="24" customWidth="1"/>
    <col min="17" max="17" width="6.5" style="24" customWidth="1"/>
    <col min="18" max="18" width="6.75" style="24" customWidth="1"/>
    <col min="19" max="20" width="6.5" style="22" customWidth="1"/>
    <col min="21" max="21" width="6.625" style="22" customWidth="1"/>
    <col min="22" max="22" width="5.875" style="24" customWidth="1"/>
    <col min="23" max="23" width="5.25" style="24" customWidth="1"/>
    <col min="24" max="24" width="2.625" style="24" customWidth="1"/>
    <col min="25" max="25" width="6.125" style="24" customWidth="1"/>
    <col min="26" max="26" width="6.5" style="24" customWidth="1"/>
    <col min="27" max="27" width="6.75" style="24" customWidth="1"/>
    <col min="28" max="29" width="6.5" style="22" customWidth="1"/>
    <col min="30" max="30" width="6.625" style="22" customWidth="1"/>
    <col min="31" max="31" width="5.875" style="24" customWidth="1"/>
    <col min="32" max="32" width="5.25" style="24" customWidth="1"/>
    <col min="33" max="33" width="2.625" style="24" customWidth="1"/>
    <col min="34" max="34" width="7.25" style="24" customWidth="1"/>
    <col min="35" max="35" width="7.75" style="24" customWidth="1"/>
    <col min="36" max="36" width="6.75" style="24" customWidth="1"/>
    <col min="37" max="38" width="6.5" style="22" customWidth="1"/>
    <col min="39" max="39" width="6.625" style="22" customWidth="1"/>
    <col min="40" max="40" width="5.875" style="24" customWidth="1"/>
    <col min="41" max="41" width="5.25" style="24" customWidth="1"/>
    <col min="42" max="42" width="2.625" style="24" customWidth="1"/>
    <col min="43" max="16384" width="9" style="24"/>
  </cols>
  <sheetData>
    <row r="1" spans="2:42" s="34" customFormat="1" ht="12">
      <c r="I1" s="36"/>
      <c r="J1" s="76"/>
      <c r="K1" s="76"/>
      <c r="L1" s="76"/>
      <c r="M1" s="35"/>
      <c r="N1" s="35"/>
      <c r="O1" s="35"/>
      <c r="R1" s="36"/>
      <c r="S1" s="76"/>
      <c r="T1" s="76"/>
      <c r="U1" s="76"/>
      <c r="V1" s="35"/>
      <c r="W1" s="35"/>
      <c r="X1" s="35"/>
      <c r="AA1" s="36"/>
      <c r="AB1" s="76"/>
      <c r="AC1" s="76"/>
      <c r="AD1" s="76"/>
      <c r="AE1" s="35"/>
      <c r="AF1" s="35"/>
      <c r="AG1" s="35"/>
      <c r="AJ1" s="36"/>
      <c r="AK1" s="76"/>
      <c r="AL1" s="76"/>
      <c r="AM1" s="76"/>
      <c r="AN1" s="35"/>
      <c r="AO1" s="35"/>
      <c r="AP1" s="35"/>
    </row>
    <row r="2" spans="2:42" s="32" customFormat="1" ht="18.75">
      <c r="F2" s="33" t="s">
        <v>54</v>
      </c>
      <c r="J2" s="77"/>
      <c r="K2" s="77"/>
      <c r="L2" s="77"/>
      <c r="M2" s="39"/>
      <c r="N2" s="38"/>
      <c r="O2" s="38"/>
      <c r="R2" s="33"/>
      <c r="S2" s="77"/>
      <c r="T2" s="77"/>
      <c r="U2" s="77"/>
      <c r="V2" s="39"/>
      <c r="W2" s="38"/>
      <c r="X2" s="38"/>
      <c r="AA2" s="33"/>
      <c r="AB2" s="77"/>
      <c r="AC2" s="77"/>
      <c r="AD2" s="77"/>
      <c r="AE2" s="39"/>
      <c r="AF2" s="38"/>
      <c r="AG2" s="38"/>
      <c r="AJ2" s="33"/>
      <c r="AK2" s="77"/>
      <c r="AL2" s="77"/>
      <c r="AM2" s="77"/>
      <c r="AN2" s="39"/>
      <c r="AO2" s="38"/>
      <c r="AP2" s="38"/>
    </row>
    <row r="4" spans="2:42">
      <c r="F4" s="6" t="s">
        <v>16</v>
      </c>
      <c r="G4" s="59" t="s">
        <v>17</v>
      </c>
      <c r="H4" s="49"/>
      <c r="M4" s="53"/>
      <c r="P4" s="59" t="s">
        <v>30</v>
      </c>
      <c r="Q4" s="49"/>
      <c r="V4" s="53"/>
      <c r="Y4" s="59" t="s">
        <v>31</v>
      </c>
      <c r="Z4" s="49"/>
      <c r="AE4" s="53"/>
      <c r="AH4" s="59" t="s">
        <v>32</v>
      </c>
      <c r="AI4" s="49"/>
      <c r="AN4" s="53"/>
    </row>
    <row r="5" spans="2:42">
      <c r="B5" s="21" t="s">
        <v>34</v>
      </c>
      <c r="C5" s="87" t="s">
        <v>4</v>
      </c>
      <c r="D5" s="28"/>
      <c r="F5" s="6" t="s">
        <v>36</v>
      </c>
      <c r="G5" s="45" t="str">
        <f>"srim"&amp;G$4&amp;"_"&amp;$C5</f>
        <v>srim40Ar_Al</v>
      </c>
      <c r="H5" s="49"/>
      <c r="M5" s="53"/>
      <c r="P5" s="45" t="str">
        <f>"srim"&amp;P$4&amp;"_"&amp;$C5</f>
        <v>srim84Kr_Al</v>
      </c>
      <c r="Q5" s="49"/>
      <c r="V5" s="53"/>
      <c r="Y5" s="45" t="str">
        <f>"srim"&amp;Y$4&amp;"_"&amp;$C5</f>
        <v>srim132Xe_Al</v>
      </c>
      <c r="Z5" s="49"/>
      <c r="AE5" s="53"/>
      <c r="AH5" s="45" t="str">
        <f>"srim"&amp;AH$4&amp;"_"&amp;$C5</f>
        <v>srim197Au_Al</v>
      </c>
      <c r="AI5" s="49"/>
      <c r="AN5" s="53"/>
    </row>
    <row r="6" spans="2:42">
      <c r="B6" s="15" t="s">
        <v>35</v>
      </c>
      <c r="C6" s="152" t="s">
        <v>55</v>
      </c>
      <c r="D6" s="2"/>
      <c r="F6" s="48" t="s">
        <v>19</v>
      </c>
      <c r="G6" s="45" t="str">
        <f>"srim"&amp;G$4&amp;"_"&amp;$C6</f>
        <v>srim40Ar_Si</v>
      </c>
      <c r="H6" s="23"/>
      <c r="P6" s="45" t="str">
        <f>"srim"&amp;P$4&amp;"_"&amp;$C6</f>
        <v>srim84Kr_Si</v>
      </c>
      <c r="Q6" s="23"/>
      <c r="Y6" s="45" t="str">
        <f>"srim"&amp;Y$4&amp;"_"&amp;$C6</f>
        <v>srim132Xe_Si</v>
      </c>
      <c r="Z6" s="23"/>
      <c r="AH6" s="45" t="str">
        <f>"srim"&amp;AH$4&amp;"_"&amp;$C6</f>
        <v>srim197Au_Si</v>
      </c>
      <c r="AI6" s="49"/>
      <c r="AN6" s="53"/>
    </row>
    <row r="7" spans="2:42">
      <c r="B7" s="50"/>
      <c r="C7" s="5"/>
      <c r="D7" s="44"/>
      <c r="E7" s="23"/>
    </row>
    <row r="8" spans="2:42">
      <c r="B8" s="6"/>
      <c r="C8" s="31"/>
      <c r="D8" s="23"/>
      <c r="E8" s="44"/>
      <c r="F8" s="23"/>
      <c r="G8" s="125" t="str">
        <f>"in "&amp;$C$6</f>
        <v>in Si</v>
      </c>
      <c r="H8" s="28"/>
      <c r="I8" s="26"/>
      <c r="J8" s="121" t="str">
        <f>"in "&amp;$C$6</f>
        <v>in Si</v>
      </c>
      <c r="K8" s="122"/>
      <c r="L8" s="124"/>
      <c r="M8" s="121" t="str">
        <f>"in "&amp;$C$5</f>
        <v>in Al</v>
      </c>
      <c r="N8" s="28"/>
      <c r="O8" s="23"/>
      <c r="P8" s="125" t="str">
        <f>"in "&amp;$C$6</f>
        <v>in Si</v>
      </c>
      <c r="Q8" s="28"/>
      <c r="R8" s="26"/>
      <c r="S8" s="121" t="str">
        <f>"in "&amp;$C$6</f>
        <v>in Si</v>
      </c>
      <c r="T8" s="122"/>
      <c r="U8" s="124"/>
      <c r="V8" s="121" t="str">
        <f>"in "&amp;$C$5</f>
        <v>in Al</v>
      </c>
      <c r="W8" s="28"/>
      <c r="Y8" s="125" t="str">
        <f>"in "&amp;$C$6</f>
        <v>in Si</v>
      </c>
      <c r="Z8" s="28"/>
      <c r="AA8" s="26"/>
      <c r="AB8" s="121" t="str">
        <f>"in "&amp;$C$6</f>
        <v>in Si</v>
      </c>
      <c r="AC8" s="122"/>
      <c r="AD8" s="124"/>
      <c r="AE8" s="121" t="str">
        <f>"in "&amp;$C$5</f>
        <v>in Al</v>
      </c>
      <c r="AF8" s="28"/>
      <c r="AH8" s="125" t="str">
        <f>"in "&amp;$C$6</f>
        <v>in Si</v>
      </c>
      <c r="AI8" s="28"/>
      <c r="AJ8" s="26"/>
      <c r="AK8" s="121" t="str">
        <f>"in "&amp;$C$6</f>
        <v>in Si</v>
      </c>
      <c r="AL8" s="122"/>
      <c r="AM8" s="124"/>
      <c r="AN8" s="121" t="str">
        <f>"in "&amp;$C$5</f>
        <v>in Al</v>
      </c>
      <c r="AO8" s="28"/>
    </row>
    <row r="9" spans="2:42">
      <c r="B9" s="6"/>
      <c r="C9" s="73"/>
      <c r="E9" s="44"/>
      <c r="F9" s="127" t="s">
        <v>39</v>
      </c>
      <c r="G9" s="97" t="s">
        <v>27</v>
      </c>
      <c r="H9" s="12" t="s">
        <v>24</v>
      </c>
      <c r="I9" s="123" t="s">
        <v>26</v>
      </c>
      <c r="J9" s="129" t="s">
        <v>43</v>
      </c>
      <c r="K9" s="129" t="s">
        <v>44</v>
      </c>
      <c r="L9" s="131" t="s">
        <v>43</v>
      </c>
      <c r="M9" s="129" t="s">
        <v>44</v>
      </c>
      <c r="N9" s="137" t="s">
        <v>45</v>
      </c>
      <c r="O9" s="23"/>
      <c r="P9" s="97" t="s">
        <v>27</v>
      </c>
      <c r="Q9" s="12" t="s">
        <v>24</v>
      </c>
      <c r="R9" s="123" t="s">
        <v>26</v>
      </c>
      <c r="S9" s="129" t="s">
        <v>43</v>
      </c>
      <c r="T9" s="129" t="s">
        <v>44</v>
      </c>
      <c r="U9" s="131" t="s">
        <v>43</v>
      </c>
      <c r="V9" s="129" t="s">
        <v>44</v>
      </c>
      <c r="W9" s="137" t="s">
        <v>45</v>
      </c>
      <c r="Y9" s="97" t="s">
        <v>27</v>
      </c>
      <c r="Z9" s="12" t="s">
        <v>24</v>
      </c>
      <c r="AA9" s="123" t="s">
        <v>26</v>
      </c>
      <c r="AB9" s="129" t="s">
        <v>43</v>
      </c>
      <c r="AC9" s="129" t="s">
        <v>44</v>
      </c>
      <c r="AD9" s="131" t="s">
        <v>43</v>
      </c>
      <c r="AE9" s="129" t="s">
        <v>44</v>
      </c>
      <c r="AF9" s="137" t="s">
        <v>45</v>
      </c>
      <c r="AH9" s="97" t="s">
        <v>27</v>
      </c>
      <c r="AI9" s="12" t="s">
        <v>24</v>
      </c>
      <c r="AJ9" s="123" t="s">
        <v>26</v>
      </c>
      <c r="AK9" s="129" t="s">
        <v>43</v>
      </c>
      <c r="AL9" s="129" t="s">
        <v>44</v>
      </c>
      <c r="AM9" s="131" t="s">
        <v>43</v>
      </c>
      <c r="AN9" s="129" t="s">
        <v>44</v>
      </c>
      <c r="AO9" s="137" t="s">
        <v>45</v>
      </c>
    </row>
    <row r="10" spans="2:42">
      <c r="B10" s="6"/>
      <c r="C10" s="73"/>
      <c r="E10" s="44"/>
      <c r="F10" s="128" t="s">
        <v>40</v>
      </c>
      <c r="G10" s="98"/>
      <c r="H10" s="99" t="s">
        <v>25</v>
      </c>
      <c r="I10" s="93" t="s">
        <v>28</v>
      </c>
      <c r="J10" s="130" t="s">
        <v>29</v>
      </c>
      <c r="K10" s="130" t="s">
        <v>1</v>
      </c>
      <c r="L10" s="132" t="s">
        <v>0</v>
      </c>
      <c r="M10" s="130" t="s">
        <v>0</v>
      </c>
      <c r="N10" s="138" t="s">
        <v>0</v>
      </c>
      <c r="O10" s="23"/>
      <c r="P10" s="98"/>
      <c r="Q10" s="99" t="s">
        <v>25</v>
      </c>
      <c r="R10" s="93" t="s">
        <v>28</v>
      </c>
      <c r="S10" s="130" t="s">
        <v>29</v>
      </c>
      <c r="T10" s="130" t="s">
        <v>1</v>
      </c>
      <c r="U10" s="132" t="s">
        <v>0</v>
      </c>
      <c r="V10" s="130" t="s">
        <v>0</v>
      </c>
      <c r="W10" s="138" t="s">
        <v>0</v>
      </c>
      <c r="Y10" s="98"/>
      <c r="Z10" s="99" t="s">
        <v>25</v>
      </c>
      <c r="AA10" s="93" t="s">
        <v>28</v>
      </c>
      <c r="AB10" s="130" t="s">
        <v>29</v>
      </c>
      <c r="AC10" s="130" t="s">
        <v>1</v>
      </c>
      <c r="AD10" s="132" t="s">
        <v>0</v>
      </c>
      <c r="AE10" s="130" t="s">
        <v>0</v>
      </c>
      <c r="AF10" s="138" t="s">
        <v>0</v>
      </c>
      <c r="AH10" s="98"/>
      <c r="AI10" s="99" t="s">
        <v>25</v>
      </c>
      <c r="AJ10" s="93" t="s">
        <v>28</v>
      </c>
      <c r="AK10" s="130" t="s">
        <v>29</v>
      </c>
      <c r="AL10" s="130" t="s">
        <v>1</v>
      </c>
      <c r="AM10" s="132" t="s">
        <v>0</v>
      </c>
      <c r="AN10" s="130" t="s">
        <v>0</v>
      </c>
      <c r="AO10" s="138" t="s">
        <v>0</v>
      </c>
    </row>
    <row r="11" spans="2:42">
      <c r="B11" s="6"/>
      <c r="C11" s="73"/>
      <c r="E11" s="44"/>
      <c r="F11" s="6"/>
      <c r="G11" s="57">
        <f>[1]!srE2LETt(G$6,H11,0)</f>
        <v>2.0347324599999999</v>
      </c>
      <c r="H11" s="126">
        <v>95</v>
      </c>
      <c r="I11" s="107">
        <f>[1]!srE2Rng(G$6,H11)</f>
        <v>4668</v>
      </c>
      <c r="J11" s="105"/>
      <c r="K11" s="105"/>
      <c r="L11" s="106"/>
      <c r="M11" s="133"/>
      <c r="N11" s="8"/>
      <c r="P11" s="57">
        <f>[1]!srE2LETt(P$6,Q11,0)</f>
        <v>9.4738735599999995</v>
      </c>
      <c r="Q11" s="126">
        <v>70</v>
      </c>
      <c r="R11" s="105"/>
      <c r="S11" s="105"/>
      <c r="T11" s="119"/>
      <c r="U11" s="106"/>
      <c r="V11" s="133"/>
      <c r="W11" s="8"/>
      <c r="Y11" s="57">
        <f>[1]!srE2LETt(Y$6,Z11,0)</f>
        <v>30.09248848</v>
      </c>
      <c r="Z11" s="126">
        <v>39</v>
      </c>
      <c r="AA11" s="105"/>
      <c r="AB11" s="105"/>
      <c r="AC11" s="119"/>
      <c r="AD11" s="106"/>
      <c r="AE11" s="133"/>
      <c r="AF11" s="8"/>
      <c r="AH11" s="57">
        <f>[1]!srE2LETt(AH$6,AI11,0)</f>
        <v>73.429755584000006</v>
      </c>
      <c r="AI11" s="126">
        <v>18.399999999999999</v>
      </c>
      <c r="AJ11" s="105"/>
      <c r="AK11" s="105"/>
      <c r="AL11" s="119"/>
      <c r="AM11" s="106"/>
      <c r="AN11" s="133"/>
      <c r="AO11" s="8"/>
    </row>
    <row r="12" spans="2:42">
      <c r="B12" s="6"/>
      <c r="C12" s="73"/>
      <c r="E12" s="44"/>
      <c r="F12" s="139" t="s">
        <v>38</v>
      </c>
      <c r="G12" s="57">
        <f>G48</f>
        <v>16.800011999999999</v>
      </c>
      <c r="H12" s="120">
        <f>H48</f>
        <v>2.7609127389837451</v>
      </c>
      <c r="I12" s="60">
        <f>I48</f>
        <v>29.383055975871599</v>
      </c>
      <c r="J12" s="106">
        <f>J31</f>
        <v>6.0524585005766998</v>
      </c>
      <c r="K12" s="106">
        <f>J48</f>
        <v>-15.6830559758716</v>
      </c>
      <c r="L12" s="106">
        <f>L31</f>
        <v>5.2659737024221451</v>
      </c>
      <c r="M12" s="134">
        <f>L48</f>
        <v>-13.669087669972406</v>
      </c>
      <c r="N12" s="119">
        <f>L12-M12</f>
        <v>18.93506137239455</v>
      </c>
      <c r="P12" s="57">
        <f>P48</f>
        <v>36.898505999999998</v>
      </c>
      <c r="Q12" s="120">
        <f>Q48</f>
        <v>6.0684783553906012</v>
      </c>
      <c r="R12" s="60">
        <f>R48</f>
        <v>61.896856585890511</v>
      </c>
      <c r="S12" s="106">
        <f>S31</f>
        <v>10.168681097560981</v>
      </c>
      <c r="T12" s="106">
        <f>S48</f>
        <v>-36.086856585890516</v>
      </c>
      <c r="U12" s="106">
        <f>U31</f>
        <v>8.8396306910569162</v>
      </c>
      <c r="V12" s="134">
        <f>U48</f>
        <v>-31.618375603580603</v>
      </c>
      <c r="W12" s="119">
        <f>U12-V12</f>
        <v>40.458006294637521</v>
      </c>
      <c r="Y12" s="57">
        <f>Y48</f>
        <v>62.408609999999996</v>
      </c>
      <c r="Z12" s="120">
        <f>Z48</f>
        <v>8.1164713716370045</v>
      </c>
      <c r="AA12" s="60">
        <f>AA48</f>
        <v>78.653408986553004</v>
      </c>
      <c r="AB12" s="106">
        <f>AB31</f>
        <v>18.267324328441575</v>
      </c>
      <c r="AC12" s="106">
        <f>AB48</f>
        <v>-37.113408986553004</v>
      </c>
      <c r="AD12" s="106">
        <f>AD31</f>
        <v>15.955340984106034</v>
      </c>
      <c r="AE12" s="134">
        <f>AD48</f>
        <v>-32.591002951787502</v>
      </c>
      <c r="AF12" s="119">
        <f>AD12-AE12</f>
        <v>48.546343935893532</v>
      </c>
      <c r="AH12" s="57">
        <f>AH48</f>
        <v>84.929580000000001</v>
      </c>
      <c r="AI12" s="120">
        <f>AI48</f>
        <v>10.47727647165706</v>
      </c>
      <c r="AJ12" s="60">
        <f>AJ48</f>
        <v>112.05775764933514</v>
      </c>
      <c r="AK12" s="106">
        <f>AK31</f>
        <v>21.485936998006256</v>
      </c>
      <c r="AL12" s="106">
        <f>AK48</f>
        <v>-60.407757649335146</v>
      </c>
      <c r="AM12" s="106">
        <f>AM31</f>
        <v>18.781598974651089</v>
      </c>
      <c r="AN12" s="134">
        <f>AM48</f>
        <v>-53.085934044046517</v>
      </c>
      <c r="AO12" s="119">
        <f>AM12-AN12</f>
        <v>71.8675330186976</v>
      </c>
    </row>
    <row r="13" spans="2:42">
      <c r="B13" s="6"/>
      <c r="C13" s="73"/>
      <c r="E13" s="44"/>
      <c r="F13" s="139" t="s">
        <v>41</v>
      </c>
      <c r="G13" s="57">
        <f>G53</f>
        <v>14.933343999999996</v>
      </c>
      <c r="H13" s="120">
        <f>H53</f>
        <v>4.0370538954754442</v>
      </c>
      <c r="I13" s="60">
        <f>I53</f>
        <v>43.28130734333417</v>
      </c>
      <c r="J13" s="106">
        <f>J29</f>
        <v>7.8015824634655528</v>
      </c>
      <c r="K13" s="106">
        <f>J53</f>
        <v>-29.581307343334171</v>
      </c>
      <c r="L13" s="106">
        <f>L29</f>
        <v>6.8121837160751566</v>
      </c>
      <c r="M13" s="134">
        <f>L53</f>
        <v>-25.837949733849531</v>
      </c>
      <c r="N13" s="119">
        <f>L13-M13</f>
        <v>32.650133449924688</v>
      </c>
      <c r="P13" s="57">
        <f>P53</f>
        <v>32.798671999999989</v>
      </c>
      <c r="Q13" s="120">
        <f>Q53</f>
        <v>8.8737162383886137</v>
      </c>
      <c r="R13" s="60">
        <f>R53</f>
        <v>91.168148002045555</v>
      </c>
      <c r="S13" s="106">
        <f>S29</f>
        <v>14.265886759391083</v>
      </c>
      <c r="T13" s="106">
        <f>S53</f>
        <v>-65.358148002045553</v>
      </c>
      <c r="U13" s="106">
        <f>U29</f>
        <v>12.395868185302813</v>
      </c>
      <c r="V13" s="134">
        <f>U53</f>
        <v>-57.350951810456188</v>
      </c>
      <c r="W13" s="119">
        <f>U13-V13</f>
        <v>69.746819995758997</v>
      </c>
      <c r="Y13" s="57">
        <f>Y53</f>
        <v>55.474319999999985</v>
      </c>
      <c r="Z13" s="120">
        <f>Z53</f>
        <v>11.794064144905112</v>
      </c>
      <c r="AA13" s="60">
        <f>AA53</f>
        <v>114.24327620237931</v>
      </c>
      <c r="AB13" s="106">
        <f>AB29</f>
        <v>23.317557454890782</v>
      </c>
      <c r="AC13" s="106">
        <f>AB53</f>
        <v>-72.7032762023793</v>
      </c>
      <c r="AD13" s="106">
        <f>AD29</f>
        <v>20.336835707502374</v>
      </c>
      <c r="AE13" s="134">
        <f>AD53</f>
        <v>-63.910564704806532</v>
      </c>
      <c r="AF13" s="119">
        <f>AD13-AE13</f>
        <v>84.247400412308906</v>
      </c>
      <c r="AH13" s="57">
        <f>AH53</f>
        <v>75.492959999999982</v>
      </c>
      <c r="AI13" s="120">
        <f>AI53</f>
        <v>16.807007162507993</v>
      </c>
      <c r="AJ13" s="60">
        <f>AJ53</f>
        <v>179.28027559220786</v>
      </c>
      <c r="AK13" s="106">
        <f>AK29</f>
        <v>27.114117515623356</v>
      </c>
      <c r="AL13" s="106">
        <f>AK53</f>
        <v>-127.63027559220785</v>
      </c>
      <c r="AM13" s="106">
        <f>AM29</f>
        <v>23.67321446775826</v>
      </c>
      <c r="AN13" s="134">
        <f>AM53</f>
        <v>-112.30804801375271</v>
      </c>
      <c r="AO13" s="119">
        <f>AM13-AN13</f>
        <v>135.98126248151098</v>
      </c>
    </row>
    <row r="14" spans="2:42">
      <c r="B14" s="6"/>
      <c r="C14" s="73"/>
      <c r="E14" s="44"/>
      <c r="F14" s="139" t="s">
        <v>42</v>
      </c>
      <c r="G14" s="57">
        <f>G58</f>
        <v>13.066675999999994</v>
      </c>
      <c r="H14" s="120">
        <f>H58</f>
        <v>5.6275498969399678</v>
      </c>
      <c r="I14" s="60">
        <f>I58</f>
        <v>62.944433808277324</v>
      </c>
      <c r="J14" s="106">
        <f>J28</f>
        <v>9.0129325560211342</v>
      </c>
      <c r="K14" s="106">
        <f>J58</f>
        <v>-49.244433808277321</v>
      </c>
      <c r="L14" s="106">
        <f>L28</f>
        <v>7.9045326288941524</v>
      </c>
      <c r="M14" s="134">
        <f>L58</f>
        <v>-43.080231578120262</v>
      </c>
      <c r="N14" s="119">
        <f t="shared" ref="N14:N16" si="0">L14-M14</f>
        <v>50.984764207014415</v>
      </c>
      <c r="P14" s="57">
        <f>P58</f>
        <v>28.698837999999988</v>
      </c>
      <c r="Q14" s="120">
        <f>Q58</f>
        <v>12.100534226894617</v>
      </c>
      <c r="R14" s="60">
        <f>R58</f>
        <v>129.25948793402594</v>
      </c>
      <c r="S14" s="106">
        <f>S28</f>
        <v>16.745606350504225</v>
      </c>
      <c r="T14" s="106">
        <f>S58</f>
        <v>-103.44948793402594</v>
      </c>
      <c r="U14" s="106">
        <f>U28</f>
        <v>14.576892150449714</v>
      </c>
      <c r="V14" s="134">
        <f>U58</f>
        <v>-90.880191207949451</v>
      </c>
      <c r="W14" s="119">
        <f t="shared" ref="W14:W16" si="1">U14-V14</f>
        <v>105.45708335839916</v>
      </c>
      <c r="Y14" s="57">
        <f>Y58</f>
        <v>48.54002999999998</v>
      </c>
      <c r="Z14" s="120">
        <f>Z58</f>
        <v>16.354696966764113</v>
      </c>
      <c r="AA14" s="60">
        <f>AA58</f>
        <v>164.45792396585449</v>
      </c>
      <c r="AB14" s="106">
        <f>AB28</f>
        <v>27.062895827866704</v>
      </c>
      <c r="AC14" s="106">
        <f>AB58</f>
        <v>-122.9179239658545</v>
      </c>
      <c r="AD14" s="106">
        <f>AD28</f>
        <v>23.595176384151145</v>
      </c>
      <c r="AE14" s="134">
        <f>AD58</f>
        <v>-108.15984316989622</v>
      </c>
      <c r="AF14" s="119">
        <f t="shared" ref="AF14:AF16" si="2">AD14-AE14</f>
        <v>131.75501955404735</v>
      </c>
      <c r="AH14" s="57">
        <f>AH58</f>
        <v>66.056339999999977</v>
      </c>
      <c r="AI14" s="120">
        <f>AI58</f>
        <v>24.571317086622958</v>
      </c>
      <c r="AJ14" s="60">
        <f>AJ58</f>
        <v>272.82717243303017</v>
      </c>
      <c r="AK14" s="106">
        <f>AK28</f>
        <v>31.207670556247873</v>
      </c>
      <c r="AL14" s="106">
        <f>AK58</f>
        <v>-221.17717243303017</v>
      </c>
      <c r="AM14" s="106">
        <f>AM28</f>
        <v>27.220680185793587</v>
      </c>
      <c r="AN14" s="134">
        <f>AM58</f>
        <v>-194.842185501617</v>
      </c>
      <c r="AO14" s="119">
        <f t="shared" ref="AO14:AO16" si="3">AM14-AN14</f>
        <v>222.06286568741058</v>
      </c>
    </row>
    <row r="15" spans="2:42">
      <c r="B15" s="6"/>
      <c r="C15" s="73"/>
      <c r="E15" s="44"/>
      <c r="F15" s="139" t="s">
        <v>47</v>
      </c>
      <c r="G15" s="57">
        <f>G63</f>
        <v>11.200007999999993</v>
      </c>
      <c r="H15" s="120">
        <f>H63</f>
        <v>7.7539618554350405</v>
      </c>
      <c r="I15" s="60">
        <f>I63</f>
        <v>93.371171047917031</v>
      </c>
      <c r="J15" s="106">
        <f>J27</f>
        <v>10.00157354606279</v>
      </c>
      <c r="K15" s="106">
        <f>J63</f>
        <v>-79.671171047917028</v>
      </c>
      <c r="L15" s="106">
        <f>L27</f>
        <v>8.8019342254246027</v>
      </c>
      <c r="M15" s="134">
        <f>L63</f>
        <v>-69.81981784422959</v>
      </c>
      <c r="N15" s="119">
        <f t="shared" si="0"/>
        <v>78.621752069654192</v>
      </c>
      <c r="P15" s="57">
        <f>P63</f>
        <v>24.599003999999987</v>
      </c>
      <c r="Q15" s="120">
        <f>Q63</f>
        <v>16.173003638604566</v>
      </c>
      <c r="R15" s="60">
        <f>R63</f>
        <v>184.91974056523</v>
      </c>
      <c r="S15" s="106">
        <f>S27</f>
        <v>18.525228017681062</v>
      </c>
      <c r="T15" s="106">
        <f>S63</f>
        <v>-159.10974056523</v>
      </c>
      <c r="U15" s="106">
        <f>U27</f>
        <v>16.159298197891871</v>
      </c>
      <c r="V15" s="134">
        <f>U63</f>
        <v>-139.92812183842437</v>
      </c>
      <c r="W15" s="119">
        <f t="shared" si="1"/>
        <v>156.08742003631625</v>
      </c>
      <c r="Y15" s="57">
        <f>Y63</f>
        <v>41.605739999999976</v>
      </c>
      <c r="Z15" s="120">
        <f>Z63</f>
        <v>22.35072612726325</v>
      </c>
      <c r="AA15" s="60">
        <f>AA63</f>
        <v>240.55222391328022</v>
      </c>
      <c r="AB15" s="106">
        <f>AB27</f>
        <v>30.088150539303172</v>
      </c>
      <c r="AC15" s="106">
        <f>AB63</f>
        <v>-199.01222391328022</v>
      </c>
      <c r="AD15" s="106">
        <f>AD27</f>
        <v>26.238368122914569</v>
      </c>
      <c r="AE15" s="134">
        <f>AD63</f>
        <v>-175.27867372769521</v>
      </c>
      <c r="AF15" s="119">
        <f t="shared" si="2"/>
        <v>201.51704185060979</v>
      </c>
      <c r="AH15" s="57">
        <f>AH63</f>
        <v>56.619719999999973</v>
      </c>
      <c r="AI15" s="120">
        <f>AI63</f>
        <v>34.435101104445053</v>
      </c>
      <c r="AJ15" s="60">
        <f>AJ63</f>
        <v>410.56098513904828</v>
      </c>
      <c r="AK15" s="106">
        <f>AK27</f>
        <v>34.438415605029029</v>
      </c>
      <c r="AL15" s="106">
        <f>AK63</f>
        <v>-358.91098513904831</v>
      </c>
      <c r="AM15" s="106">
        <f>AM27</f>
        <v>30.03757144647258</v>
      </c>
      <c r="AN15" s="134">
        <f>AM63</f>
        <v>-316.45159667097624</v>
      </c>
      <c r="AO15" s="119">
        <f t="shared" si="3"/>
        <v>346.4891681174488</v>
      </c>
    </row>
    <row r="16" spans="2:42">
      <c r="B16" s="6"/>
      <c r="C16" s="73"/>
      <c r="E16" s="44"/>
      <c r="F16" s="139" t="s">
        <v>48</v>
      </c>
      <c r="G16" s="57">
        <f>G65</f>
        <v>9.3333399999999926</v>
      </c>
      <c r="H16" s="120">
        <f>H65</f>
        <v>10.794437411629396</v>
      </c>
      <c r="I16" s="60">
        <f>I65</f>
        <v>145.01138238246446</v>
      </c>
      <c r="J16" s="106">
        <f>J26</f>
        <v>10.880847622917512</v>
      </c>
      <c r="K16" s="106">
        <f>J65</f>
        <v>-131.31138238246447</v>
      </c>
      <c r="L16" s="106">
        <f>L26</f>
        <v>9.6235363673303542</v>
      </c>
      <c r="M16" s="134">
        <f>L65</f>
        <v>-115.24997557617283</v>
      </c>
      <c r="N16" s="119">
        <f t="shared" si="0"/>
        <v>124.87351194350319</v>
      </c>
      <c r="P16" s="57">
        <f>P65</f>
        <v>20.499169999999985</v>
      </c>
      <c r="Q16" s="120">
        <f>Q65</f>
        <v>21.765919309192778</v>
      </c>
      <c r="R16" s="60">
        <f>R65</f>
        <v>275.59525447390911</v>
      </c>
      <c r="S16" s="106">
        <f>S26</f>
        <v>19.990270879999997</v>
      </c>
      <c r="T16" s="106">
        <f>S65</f>
        <v>-249.78525447390911</v>
      </c>
      <c r="U16" s="106">
        <f>U26</f>
        <v>17.4793056</v>
      </c>
      <c r="V16" s="134">
        <f>U65</f>
        <v>-219.8983227580126</v>
      </c>
      <c r="W16" s="119">
        <f t="shared" si="1"/>
        <v>237.3776283580126</v>
      </c>
      <c r="Y16" s="57">
        <f>Y65</f>
        <v>34.671449999999972</v>
      </c>
      <c r="Z16" s="120">
        <f>Z65</f>
        <v>30.84091367805863</v>
      </c>
      <c r="AA16" s="60">
        <f>AA65</f>
        <v>368.52115718961664</v>
      </c>
      <c r="AB16" s="106">
        <f>AB26</f>
        <v>32.611941390014209</v>
      </c>
      <c r="AC16" s="106">
        <f>AB65</f>
        <v>-326.98115718961662</v>
      </c>
      <c r="AD16" s="106">
        <f>AD26</f>
        <v>28.469198716262433</v>
      </c>
      <c r="AE16" s="134">
        <f>AD65</f>
        <v>-288.24466817972097</v>
      </c>
      <c r="AF16" s="119">
        <f t="shared" si="2"/>
        <v>316.71386689598341</v>
      </c>
      <c r="AH16" s="57">
        <f>AH65</f>
        <v>47.183099999999968</v>
      </c>
      <c r="AI16" s="120">
        <f>AI65</f>
        <v>50.07878286698751</v>
      </c>
      <c r="AJ16" s="60">
        <f>AJ65</f>
        <v>668.8559913327781</v>
      </c>
      <c r="AK16" s="106">
        <f>AK26</f>
        <v>37.213530842230128</v>
      </c>
      <c r="AL16" s="106">
        <f>AK65</f>
        <v>-617.20599133277813</v>
      </c>
      <c r="AM16" s="106">
        <f>AM26</f>
        <v>32.476096381969157</v>
      </c>
      <c r="AN16" s="134">
        <f>AM65</f>
        <v>-544.67592579264601</v>
      </c>
      <c r="AO16" s="119">
        <f t="shared" si="3"/>
        <v>577.15202217461513</v>
      </c>
    </row>
    <row r="17" spans="2:42">
      <c r="B17" s="6"/>
      <c r="C17" s="73"/>
      <c r="E17" s="44"/>
      <c r="F17" s="6"/>
      <c r="G17" s="59"/>
      <c r="H17" s="75"/>
      <c r="M17" s="53"/>
      <c r="P17" s="59"/>
      <c r="Q17" s="49"/>
      <c r="V17" s="53"/>
      <c r="Y17" s="59"/>
      <c r="Z17" s="49"/>
      <c r="AE17" s="53"/>
      <c r="AH17" s="59"/>
      <c r="AI17" s="23"/>
    </row>
    <row r="18" spans="2:42">
      <c r="E18" s="23"/>
      <c r="G18" s="125" t="str">
        <f>"in "&amp;$C$6</f>
        <v>in Si</v>
      </c>
      <c r="H18" s="10" t="s">
        <v>24</v>
      </c>
      <c r="I18" s="84" t="s">
        <v>37</v>
      </c>
      <c r="J18" s="95" t="str">
        <f>$C$6</f>
        <v>Si</v>
      </c>
      <c r="K18" s="26" t="s">
        <v>37</v>
      </c>
      <c r="L18" s="95" t="str">
        <f>$C$5</f>
        <v>Al</v>
      </c>
      <c r="M18" s="125" t="str">
        <f>"in "&amp;$C$6</f>
        <v>in Si</v>
      </c>
      <c r="N18" s="100"/>
      <c r="P18" s="125" t="str">
        <f>"in "&amp;$C$6</f>
        <v>in Si</v>
      </c>
      <c r="Q18" s="10" t="s">
        <v>24</v>
      </c>
      <c r="R18" s="84" t="s">
        <v>37</v>
      </c>
      <c r="S18" s="95" t="str">
        <f>$C$6</f>
        <v>Si</v>
      </c>
      <c r="T18" s="26" t="s">
        <v>37</v>
      </c>
      <c r="U18" s="95" t="str">
        <f>$C$5</f>
        <v>Al</v>
      </c>
      <c r="V18" s="125" t="str">
        <f>"in "&amp;$C$6</f>
        <v>in Si</v>
      </c>
      <c r="W18" s="100"/>
      <c r="Y18" s="125" t="str">
        <f>"in "&amp;$C$6</f>
        <v>in Si</v>
      </c>
      <c r="Z18" s="10" t="s">
        <v>24</v>
      </c>
      <c r="AA18" s="84" t="s">
        <v>37</v>
      </c>
      <c r="AB18" s="95" t="str">
        <f>$C$6</f>
        <v>Si</v>
      </c>
      <c r="AC18" s="26" t="s">
        <v>37</v>
      </c>
      <c r="AD18" s="95" t="str">
        <f>$C$5</f>
        <v>Al</v>
      </c>
      <c r="AE18" s="125" t="str">
        <f>"in "&amp;$C$6</f>
        <v>in Si</v>
      </c>
      <c r="AF18" s="100"/>
      <c r="AH18" s="125" t="str">
        <f>"in "&amp;$C$6</f>
        <v>in Si</v>
      </c>
      <c r="AI18" s="10" t="s">
        <v>24</v>
      </c>
      <c r="AJ18" s="84" t="s">
        <v>37</v>
      </c>
      <c r="AK18" s="95" t="str">
        <f>$C$6</f>
        <v>Si</v>
      </c>
      <c r="AL18" s="26" t="s">
        <v>37</v>
      </c>
      <c r="AM18" s="95" t="str">
        <f>$C$5</f>
        <v>Al</v>
      </c>
      <c r="AN18" s="125" t="str">
        <f>"in "&amp;$C$6</f>
        <v>in Si</v>
      </c>
      <c r="AO18" s="100"/>
    </row>
    <row r="19" spans="2:42">
      <c r="F19" s="6" t="s">
        <v>18</v>
      </c>
      <c r="G19" s="97" t="s">
        <v>27</v>
      </c>
      <c r="H19" s="1"/>
      <c r="I19" s="91"/>
      <c r="J19" s="92" t="s">
        <v>33</v>
      </c>
      <c r="K19" s="91"/>
      <c r="L19" s="92" t="s">
        <v>33</v>
      </c>
      <c r="M19" s="101" t="s">
        <v>14</v>
      </c>
      <c r="N19" s="102" t="s">
        <v>15</v>
      </c>
      <c r="O19" s="23"/>
      <c r="P19" s="97" t="s">
        <v>27</v>
      </c>
      <c r="Q19" s="1"/>
      <c r="R19" s="91"/>
      <c r="S19" s="92" t="s">
        <v>33</v>
      </c>
      <c r="T19" s="91"/>
      <c r="U19" s="92" t="s">
        <v>33</v>
      </c>
      <c r="V19" s="101" t="s">
        <v>14</v>
      </c>
      <c r="W19" s="102" t="s">
        <v>15</v>
      </c>
      <c r="X19" s="23"/>
      <c r="Y19" s="97" t="s">
        <v>27</v>
      </c>
      <c r="Z19" s="1"/>
      <c r="AA19" s="91"/>
      <c r="AB19" s="92" t="s">
        <v>33</v>
      </c>
      <c r="AC19" s="91"/>
      <c r="AD19" s="92" t="s">
        <v>33</v>
      </c>
      <c r="AE19" s="101" t="s">
        <v>14</v>
      </c>
      <c r="AF19" s="102" t="s">
        <v>15</v>
      </c>
      <c r="AG19" s="23"/>
      <c r="AH19" s="97" t="s">
        <v>27</v>
      </c>
      <c r="AI19" s="1"/>
      <c r="AJ19" s="91"/>
      <c r="AK19" s="92" t="s">
        <v>33</v>
      </c>
      <c r="AL19" s="91"/>
      <c r="AM19" s="92" t="s">
        <v>33</v>
      </c>
      <c r="AN19" s="101" t="s">
        <v>14</v>
      </c>
      <c r="AO19" s="102" t="s">
        <v>15</v>
      </c>
    </row>
    <row r="20" spans="2:42">
      <c r="F20" s="11" t="s">
        <v>23</v>
      </c>
      <c r="G20" s="98"/>
      <c r="H20" s="99" t="s">
        <v>25</v>
      </c>
      <c r="I20" s="93" t="s">
        <v>28</v>
      </c>
      <c r="J20" s="94" t="s">
        <v>22</v>
      </c>
      <c r="K20" s="93" t="s">
        <v>0</v>
      </c>
      <c r="L20" s="96" t="s">
        <v>0</v>
      </c>
      <c r="M20" s="103"/>
      <c r="N20" s="65"/>
      <c r="O20" s="50"/>
      <c r="P20" s="98"/>
      <c r="Q20" s="99" t="s">
        <v>25</v>
      </c>
      <c r="R20" s="93" t="s">
        <v>28</v>
      </c>
      <c r="S20" s="94" t="s">
        <v>22</v>
      </c>
      <c r="T20" s="93" t="s">
        <v>0</v>
      </c>
      <c r="U20" s="96" t="s">
        <v>0</v>
      </c>
      <c r="V20" s="103"/>
      <c r="W20" s="65"/>
      <c r="X20" s="50"/>
      <c r="Y20" s="98"/>
      <c r="Z20" s="99" t="s">
        <v>25</v>
      </c>
      <c r="AA20" s="93" t="s">
        <v>28</v>
      </c>
      <c r="AB20" s="94" t="s">
        <v>22</v>
      </c>
      <c r="AC20" s="93" t="s">
        <v>0</v>
      </c>
      <c r="AD20" s="96" t="s">
        <v>0</v>
      </c>
      <c r="AE20" s="103"/>
      <c r="AF20" s="65"/>
      <c r="AG20" s="50"/>
      <c r="AH20" s="98"/>
      <c r="AI20" s="99" t="s">
        <v>25</v>
      </c>
      <c r="AJ20" s="93" t="s">
        <v>28</v>
      </c>
      <c r="AK20" s="94" t="s">
        <v>22</v>
      </c>
      <c r="AL20" s="93" t="s">
        <v>0</v>
      </c>
      <c r="AM20" s="96" t="s">
        <v>0</v>
      </c>
      <c r="AN20" s="103"/>
      <c r="AO20" s="65"/>
      <c r="AP20" s="50"/>
    </row>
    <row r="21" spans="2:42">
      <c r="F21" s="23"/>
      <c r="G21" s="142">
        <v>0</v>
      </c>
      <c r="H21" s="143">
        <v>0</v>
      </c>
      <c r="I21" s="144">
        <v>0</v>
      </c>
      <c r="J21" s="146">
        <f t="shared" ref="J21:J36" si="4">I$38-I21</f>
        <v>13.7</v>
      </c>
      <c r="K21" s="147">
        <v>0</v>
      </c>
      <c r="L21" s="146">
        <f>K$38-K21</f>
        <v>12.16</v>
      </c>
      <c r="M21" s="145">
        <v>0</v>
      </c>
      <c r="N21" s="148">
        <v>0</v>
      </c>
      <c r="O21" s="58"/>
      <c r="P21" s="142">
        <v>0</v>
      </c>
      <c r="Q21" s="143">
        <v>0</v>
      </c>
      <c r="R21" s="145">
        <v>0</v>
      </c>
      <c r="S21" s="146">
        <f t="shared" ref="S21:S36" si="5">R$38-R21</f>
        <v>25.81</v>
      </c>
      <c r="T21" s="147">
        <v>0</v>
      </c>
      <c r="U21" s="146">
        <f>T$38-T21</f>
        <v>22.79</v>
      </c>
      <c r="V21" s="145">
        <v>0</v>
      </c>
      <c r="W21" s="148">
        <v>0</v>
      </c>
      <c r="X21" s="58"/>
      <c r="Y21" s="142">
        <v>0</v>
      </c>
      <c r="Z21" s="143">
        <v>0</v>
      </c>
      <c r="AA21" s="145">
        <v>0</v>
      </c>
      <c r="AB21" s="146">
        <f t="shared" ref="AB21:AB36" si="6">AA$38-AA21</f>
        <v>41.54</v>
      </c>
      <c r="AC21" s="147">
        <v>0</v>
      </c>
      <c r="AD21" s="146">
        <f>AC$38-AC21</f>
        <v>36.590000000000003</v>
      </c>
      <c r="AE21" s="145">
        <v>0</v>
      </c>
      <c r="AF21" s="148">
        <v>0</v>
      </c>
      <c r="AG21" s="58"/>
      <c r="AH21" s="142">
        <v>0</v>
      </c>
      <c r="AI21" s="143">
        <v>0</v>
      </c>
      <c r="AJ21" s="145">
        <v>0</v>
      </c>
      <c r="AK21" s="146">
        <f t="shared" ref="AK21:AK36" si="7">AJ$38-AJ21</f>
        <v>51.65</v>
      </c>
      <c r="AL21" s="147">
        <v>0</v>
      </c>
      <c r="AM21" s="146">
        <f>AL$38-AL21</f>
        <v>45.57</v>
      </c>
      <c r="AN21" s="145">
        <v>0</v>
      </c>
      <c r="AO21" s="148">
        <v>0</v>
      </c>
      <c r="AP21" s="58"/>
    </row>
    <row r="22" spans="2:42">
      <c r="F22" s="61">
        <v>0.1</v>
      </c>
      <c r="G22" s="149">
        <f t="shared" ref="G22:G37" si="8">G$38*$F22</f>
        <v>1.866668</v>
      </c>
      <c r="H22" s="66">
        <f>[1]!srLETt2E(G$6,G22,0,-1)</f>
        <v>4.9688924050632909E-5</v>
      </c>
      <c r="I22" s="61">
        <f>[1]!srE2Rng(G$6,H22)</f>
        <v>5.075113924050632E-3</v>
      </c>
      <c r="J22" s="78">
        <f t="shared" si="4"/>
        <v>13.694924886075949</v>
      </c>
      <c r="K22" s="86">
        <f>[1]!srE2Rng(G$5,H22)</f>
        <v>4.2875569620253167E-3</v>
      </c>
      <c r="L22" s="78">
        <f t="shared" ref="L22:L36" si="9">K$38-K22</f>
        <v>12.155712443037975</v>
      </c>
      <c r="M22" s="61">
        <f>[1]!srE2LETe(G$6,H22,0)</f>
        <v>0.19796540506329113</v>
      </c>
      <c r="N22" s="29">
        <f>[1]!srE2LETn(G$6,H22,0)</f>
        <v>1.6687025949367087</v>
      </c>
      <c r="O22" s="52"/>
      <c r="P22" s="149">
        <f t="shared" ref="P22:P37" si="10">P$38*$F22</f>
        <v>4.0998340000000004</v>
      </c>
      <c r="Q22" s="66">
        <f>[1]!srLETt2E(P$6,P22,0,-1)</f>
        <v>7.5628558188799153E-5</v>
      </c>
      <c r="R22" s="60">
        <f>[1]!srE2Rng(P$6,Q22)</f>
        <v>9.1822391102873019E-3</v>
      </c>
      <c r="S22" s="78">
        <f t="shared" si="5"/>
        <v>25.800817760889711</v>
      </c>
      <c r="T22" s="86">
        <f>[1]!srE2Rng(P$5,Q22)</f>
        <v>7.8822391102873028E-3</v>
      </c>
      <c r="U22" s="78">
        <f t="shared" ref="U22:U73" si="11">T$38-T22</f>
        <v>22.782117760889712</v>
      </c>
      <c r="V22" s="61">
        <f>[1]!srE2LETe(P$6,Q22,0)</f>
        <v>0.32680221130676551</v>
      </c>
      <c r="W22" s="29">
        <f>[1]!srE2LETn(P$6,Q22,0)</f>
        <v>3.7730317886932347</v>
      </c>
      <c r="X22" s="52"/>
      <c r="Y22" s="149">
        <f t="shared" ref="Y22:Y37" si="12">Y$38*$F22</f>
        <v>6.9342900000000007</v>
      </c>
      <c r="Z22" s="66">
        <f>[1]!srLETt2E(Y$6,Y22,0,-1)</f>
        <v>1.4153365718251219E-4</v>
      </c>
      <c r="AA22" s="60">
        <f>[1]!srE2Rng(Y$6,Z22)</f>
        <v>1.6941221374045804E-2</v>
      </c>
      <c r="AB22" s="78">
        <f t="shared" si="6"/>
        <v>41.523058778625952</v>
      </c>
      <c r="AC22" s="86">
        <f>[1]!srE2Rng(Y$5,Z22)</f>
        <v>1.4607099236641224E-2</v>
      </c>
      <c r="AD22" s="78">
        <f t="shared" ref="AD22:AD73" si="13">AC$38-AC22</f>
        <v>36.575392900763362</v>
      </c>
      <c r="AE22" s="61">
        <f>[1]!srE2LETe(Y$6,Z22,0)</f>
        <v>0.5410930534351146</v>
      </c>
      <c r="AF22" s="29">
        <f>[1]!srE2LETn(Y$6,Z22,0)</f>
        <v>6.3931969465648866</v>
      </c>
      <c r="AG22" s="52"/>
      <c r="AH22" s="149">
        <f t="shared" ref="AH22:AH37" si="14">AH$38*$F22</f>
        <v>9.4366200000000013</v>
      </c>
      <c r="AI22" s="66">
        <f>[1]!srLETt2E(AH$6,AH22,0,-1)</f>
        <v>1.4226503834261436E-4</v>
      </c>
      <c r="AJ22" s="60">
        <f>[1]!srE2Rng(AH$6,AI22)</f>
        <v>2.073153352353781E-2</v>
      </c>
      <c r="AK22" s="78">
        <f t="shared" si="7"/>
        <v>51.629268466476461</v>
      </c>
      <c r="AL22" s="86">
        <f>[1]!srE2Rng(AH$5,AI22)</f>
        <v>1.7789436519258208E-2</v>
      </c>
      <c r="AM22" s="78">
        <f t="shared" ref="AM22:AM72" si="15">AL$38-AL22</f>
        <v>45.552210563480742</v>
      </c>
      <c r="AN22" s="61">
        <f>[1]!srE2LETe(AH$6,AI22,0)</f>
        <v>1.0039455349500717</v>
      </c>
      <c r="AO22" s="29">
        <f>[1]!srE2LETn(AH$6,AI22,0)</f>
        <v>8.4326744650499297</v>
      </c>
      <c r="AP22" s="52"/>
    </row>
    <row r="23" spans="2:42">
      <c r="B23" s="25"/>
      <c r="C23" s="25"/>
      <c r="D23" s="25"/>
      <c r="E23" s="25"/>
      <c r="F23" s="61">
        <v>0.2</v>
      </c>
      <c r="G23" s="149">
        <f t="shared" si="8"/>
        <v>3.733336</v>
      </c>
      <c r="H23" s="66">
        <f>[1]!srLETt2E(G$6,G23,0,-1)</f>
        <v>1.0304285714285715E-2</v>
      </c>
      <c r="I23" s="61">
        <f>[1]!srE2Rng(G$6,H23)</f>
        <v>0.43448000000000003</v>
      </c>
      <c r="J23" s="78">
        <f t="shared" si="4"/>
        <v>13.265519999999999</v>
      </c>
      <c r="K23" s="86">
        <f>[1]!srE2Rng(G$5,H23)</f>
        <v>0.36283520000000002</v>
      </c>
      <c r="L23" s="78">
        <f t="shared" si="9"/>
        <v>11.797164800000001</v>
      </c>
      <c r="M23" s="61">
        <f>[1]!srE2LETe(G$6,H23,0)</f>
        <v>2.5848628571428574</v>
      </c>
      <c r="N23" s="29">
        <f>[1]!srE2LETn(G$6,H23,0)</f>
        <v>1.1484731428571429</v>
      </c>
      <c r="O23" s="52"/>
      <c r="P23" s="149">
        <f t="shared" si="10"/>
        <v>8.1996680000000008</v>
      </c>
      <c r="Q23" s="66">
        <f>[1]!srLETt2E(P$6,P23,0,-1)</f>
        <v>3.317870787283396E-2</v>
      </c>
      <c r="R23" s="60">
        <f>[1]!srE2Rng(P$6,Q23)</f>
        <v>1.6392459598853875</v>
      </c>
      <c r="S23" s="78">
        <f t="shared" si="5"/>
        <v>24.170754040114613</v>
      </c>
      <c r="T23" s="86">
        <f>[1]!srE2Rng(P$5,Q23)</f>
        <v>1.436285042979943</v>
      </c>
      <c r="U23" s="78">
        <f t="shared" si="11"/>
        <v>21.353714957020056</v>
      </c>
      <c r="V23" s="61">
        <f>[1]!srE2LETe(P$6,Q23,0)</f>
        <v>6.3323245386819504</v>
      </c>
      <c r="W23" s="29">
        <f>[1]!srE2LETn(P$6,Q23,0)</f>
        <v>1.8673434613180511</v>
      </c>
      <c r="X23" s="52"/>
      <c r="Y23" s="149">
        <f t="shared" si="12"/>
        <v>13.868580000000001</v>
      </c>
      <c r="Z23" s="66">
        <f>[1]!srLETt2E(Y$6,Y23,0,-1)</f>
        <v>4.5172125668449206E-2</v>
      </c>
      <c r="AA23" s="60">
        <f>[1]!srE2Rng(Y$6,Z23)</f>
        <v>2.1188161764705886</v>
      </c>
      <c r="AB23" s="78">
        <f t="shared" si="6"/>
        <v>39.421183823529411</v>
      </c>
      <c r="AC23" s="86">
        <f>[1]!srE2Rng(Y$5,Z23)</f>
        <v>1.8695617647058824</v>
      </c>
      <c r="AD23" s="78">
        <f t="shared" si="13"/>
        <v>34.720438235294118</v>
      </c>
      <c r="AE23" s="61">
        <f>[1]!srE2LETe(Y$6,Z23,0)</f>
        <v>10.847501470588236</v>
      </c>
      <c r="AF23" s="29">
        <f>[1]!srE2LETn(Y$6,Z23,0)</f>
        <v>3.0210785294117644</v>
      </c>
      <c r="AG23" s="52"/>
      <c r="AH23" s="149">
        <f t="shared" si="14"/>
        <v>18.873240000000003</v>
      </c>
      <c r="AI23" s="66">
        <f>[1]!srLETt2E(AH$6,AH23,0,-1)</f>
        <v>3.1680306640422735E-3</v>
      </c>
      <c r="AJ23" s="60">
        <f>[1]!srE2Rng(AH$6,AI23)</f>
        <v>0.16885783673469418</v>
      </c>
      <c r="AK23" s="78">
        <f t="shared" si="7"/>
        <v>51.481142163265304</v>
      </c>
      <c r="AL23" s="86">
        <f>[1]!srE2Rng(AH$5,AI23)</f>
        <v>0.14498657142857169</v>
      </c>
      <c r="AM23" s="78">
        <f t="shared" si="15"/>
        <v>45.425013428571425</v>
      </c>
      <c r="AN23" s="61">
        <f>[1]!srE2LETe(AH$6,AI23,0)</f>
        <v>5.5218032653061275</v>
      </c>
      <c r="AO23" s="29">
        <f>[1]!srE2LETn(AH$6,AI23,0)</f>
        <v>13.351436734693875</v>
      </c>
      <c r="AP23" s="52"/>
    </row>
    <row r="24" spans="2:42">
      <c r="B24" s="25"/>
      <c r="C24" s="25"/>
      <c r="D24" s="25"/>
      <c r="E24" s="25"/>
      <c r="F24" s="61">
        <v>0.3</v>
      </c>
      <c r="G24" s="149">
        <f t="shared" si="8"/>
        <v>5.6000039999999993</v>
      </c>
      <c r="H24" s="66">
        <f>[1]!srLETt2E(G$6,G24,0,-1)</f>
        <v>3.3690163098878685E-2</v>
      </c>
      <c r="I24" s="61">
        <f>[1]!srE2Rng(G$6,H24)</f>
        <v>1.2633245667686033</v>
      </c>
      <c r="J24" s="78">
        <f t="shared" si="4"/>
        <v>12.436675433231397</v>
      </c>
      <c r="K24" s="86">
        <f>[1]!srE2Rng(G$5,H24)</f>
        <v>1.0933245667686031</v>
      </c>
      <c r="L24" s="78">
        <f t="shared" si="9"/>
        <v>11.066675433231397</v>
      </c>
      <c r="M24" s="61">
        <f>[1]!srE2LETe(G$6,H24,0)</f>
        <v>5.0406386136595307</v>
      </c>
      <c r="N24" s="29">
        <f>[1]!srE2LETn(G$6,H24,0)</f>
        <v>0.55936538634046895</v>
      </c>
      <c r="O24" s="52"/>
      <c r="P24" s="149">
        <f t="shared" si="10"/>
        <v>12.299501999999999</v>
      </c>
      <c r="Q24" s="66">
        <f>[1]!srLETt2E(P$6,P24,0,-1)</f>
        <v>7.3978746713409274E-2</v>
      </c>
      <c r="R24" s="60">
        <f>[1]!srE2Rng(P$6,Q24)</f>
        <v>3.0428330061349689</v>
      </c>
      <c r="S24" s="78">
        <f t="shared" si="5"/>
        <v>22.767166993865029</v>
      </c>
      <c r="T24" s="86">
        <f>[1]!srE2Rng(P$5,Q24)</f>
        <v>2.7285487116564413</v>
      </c>
      <c r="U24" s="78">
        <f t="shared" si="11"/>
        <v>20.061451288343559</v>
      </c>
      <c r="V24" s="61">
        <f>[1]!srE2LETe(P$6,Q24,0)</f>
        <v>11.195636196319018</v>
      </c>
      <c r="W24" s="29">
        <f>[1]!srE2LETn(P$6,Q24,0)</f>
        <v>1.1038658036809816</v>
      </c>
      <c r="X24" s="52"/>
      <c r="Y24" s="149">
        <f t="shared" si="12"/>
        <v>20.802869999999999</v>
      </c>
      <c r="Z24" s="66">
        <f>[1]!srLETt2E(Y$6,Y24,0,-1)</f>
        <v>0.12117489653203936</v>
      </c>
      <c r="AA24" s="60">
        <f>[1]!srE2Rng(Y$6,Z24)</f>
        <v>4.5790172684458392</v>
      </c>
      <c r="AB24" s="78">
        <f t="shared" si="6"/>
        <v>36.960982731554161</v>
      </c>
      <c r="AC24" s="86">
        <f>[1]!srE2Rng(Y$5,Z24)</f>
        <v>4.1690664050235471</v>
      </c>
      <c r="AD24" s="78">
        <f t="shared" si="13"/>
        <v>32.420933594976454</v>
      </c>
      <c r="AE24" s="61">
        <f>[1]!srE2LETe(Y$6,Z24,0)</f>
        <v>19.226511302982729</v>
      </c>
      <c r="AF24" s="29">
        <f>[1]!srE2LETn(Y$6,Z24,0)</f>
        <v>1.5763586970172687</v>
      </c>
      <c r="AG24" s="52"/>
      <c r="AH24" s="149">
        <f t="shared" si="14"/>
        <v>28.30986</v>
      </c>
      <c r="AI24" s="66">
        <f>[1]!srLETt2E(AH$6,AH24,0,-1)</f>
        <v>0.2148991116751269</v>
      </c>
      <c r="AJ24" s="60">
        <f>[1]!srE2Rng(AH$6,AI24)</f>
        <v>9.0749390000000005</v>
      </c>
      <c r="AK24" s="78">
        <f t="shared" si="7"/>
        <v>42.575060999999998</v>
      </c>
      <c r="AL24" s="86">
        <f>[1]!srE2Rng(AH$5,AI24)</f>
        <v>8.2975770000000004</v>
      </c>
      <c r="AM24" s="78">
        <f t="shared" si="15"/>
        <v>37.272423000000003</v>
      </c>
      <c r="AN24" s="61">
        <f>[1]!srE2LETe(AH$6,AI24,0)</f>
        <v>26.29025425</v>
      </c>
      <c r="AO24" s="29">
        <f>[1]!srE2LETn(AH$6,AI24,0)</f>
        <v>2.0196057500000002</v>
      </c>
      <c r="AP24" s="52"/>
    </row>
    <row r="25" spans="2:42">
      <c r="B25" s="25"/>
      <c r="C25" s="25"/>
      <c r="D25" s="25"/>
      <c r="E25" s="25"/>
      <c r="F25" s="61">
        <v>0.4</v>
      </c>
      <c r="G25" s="149">
        <f t="shared" si="8"/>
        <v>7.466672</v>
      </c>
      <c r="H25" s="66">
        <f>[1]!srLETt2E(G$6,G25,0,-1)</f>
        <v>6.2526239290085675E-2</v>
      </c>
      <c r="I25" s="61">
        <f>[1]!srE2Rng(G$6,H25)</f>
        <v>2.0005877600979192</v>
      </c>
      <c r="J25" s="78">
        <f t="shared" si="4"/>
        <v>11.699412239902081</v>
      </c>
      <c r="K25" s="86">
        <f>[1]!srE2Rng(G$5,H25)</f>
        <v>1.770545777233782</v>
      </c>
      <c r="L25" s="78">
        <f t="shared" si="9"/>
        <v>10.389454222766219</v>
      </c>
      <c r="M25" s="61">
        <f>[1]!srE2LETe(G$6,H25,0)</f>
        <v>7.1034735985312114</v>
      </c>
      <c r="N25" s="29">
        <f>[1]!srE2LETn(G$6,H25,0)</f>
        <v>0.36319840146878829</v>
      </c>
      <c r="O25" s="52"/>
      <c r="P25" s="149">
        <f t="shared" si="10"/>
        <v>16.399336000000002</v>
      </c>
      <c r="Q25" s="66">
        <f>[1]!srLETt2E(P$6,P25,0,-1)</f>
        <v>0.13058841679220287</v>
      </c>
      <c r="R25" s="60">
        <f>[1]!srE2Rng(P$6,Q25)</f>
        <v>4.4517452928471606</v>
      </c>
      <c r="S25" s="78">
        <f t="shared" si="5"/>
        <v>21.358254707152838</v>
      </c>
      <c r="T25" s="86">
        <f>[1]!srE2Rng(P$5,Q25)</f>
        <v>4.0423567526362598</v>
      </c>
      <c r="U25" s="78">
        <f t="shared" si="11"/>
        <v>18.74764324736374</v>
      </c>
      <c r="V25" s="61">
        <f>[1]!srE2LETe(P$6,Q25,0)</f>
        <v>15.664318688857835</v>
      </c>
      <c r="W25" s="29">
        <f>[1]!srE2LETn(P$6,Q25,0)</f>
        <v>0.7350173111421674</v>
      </c>
      <c r="X25" s="52"/>
      <c r="Y25" s="149">
        <f t="shared" si="12"/>
        <v>27.737160000000003</v>
      </c>
      <c r="Z25" s="66">
        <f>[1]!srLETt2E(Y$6,Y25,0,-1)</f>
        <v>0.21324045505724773</v>
      </c>
      <c r="AA25" s="60">
        <f>[1]!srE2Rng(Y$6,Z25)</f>
        <v>6.7284564902686181</v>
      </c>
      <c r="AB25" s="78">
        <f t="shared" si="6"/>
        <v>34.811543509731379</v>
      </c>
      <c r="AC25" s="86">
        <f>[1]!srE2Rng(Y$5,Z25)</f>
        <v>6.1406836094579376</v>
      </c>
      <c r="AD25" s="78">
        <f t="shared" si="13"/>
        <v>30.449316390542066</v>
      </c>
      <c r="AE25" s="61">
        <f>[1]!srE2LETe(Y$6,Z25,0)</f>
        <v>26.689415795399711</v>
      </c>
      <c r="AF25" s="29">
        <f>[1]!srE2LETn(Y$6,Z25,0)</f>
        <v>1.0477442046002894</v>
      </c>
      <c r="AG25" s="52"/>
      <c r="AH25" s="149">
        <f t="shared" si="14"/>
        <v>37.746480000000005</v>
      </c>
      <c r="AI25" s="66">
        <f>[1]!srLETt2E(AH$6,AH25,0,-1)</f>
        <v>0.32211916613276831</v>
      </c>
      <c r="AJ25" s="60">
        <f>[1]!srE2Rng(AH$6,AI25)</f>
        <v>11.824152233009711</v>
      </c>
      <c r="AK25" s="78">
        <f t="shared" si="7"/>
        <v>39.825847766990286</v>
      </c>
      <c r="AL25" s="86">
        <f>[1]!srE2Rng(AH$5,AI25)</f>
        <v>10.779577475728157</v>
      </c>
      <c r="AM25" s="78">
        <f t="shared" si="15"/>
        <v>34.790422524271847</v>
      </c>
      <c r="AN25" s="61">
        <f>[1]!srE2LETe(AH$6,AI25,0)</f>
        <v>36.246714563106799</v>
      </c>
      <c r="AO25" s="29">
        <f>[1]!srE2LETn(AH$6,AI25,0)</f>
        <v>1.4997654368932036</v>
      </c>
      <c r="AP25" s="52"/>
    </row>
    <row r="26" spans="2:42" s="108" customFormat="1">
      <c r="B26" s="25"/>
      <c r="C26" s="25"/>
      <c r="D26" s="25"/>
      <c r="E26" s="25"/>
      <c r="F26" s="141">
        <v>0.5</v>
      </c>
      <c r="G26" s="150">
        <f t="shared" si="8"/>
        <v>9.3333399999999997</v>
      </c>
      <c r="H26" s="110">
        <f>[1]!srLETt2E(G$6,G26,0,-1)</f>
        <v>0.10336093051605037</v>
      </c>
      <c r="I26" s="109">
        <f>[1]!srE2Rng(G$6,H26)</f>
        <v>2.8191523770824864</v>
      </c>
      <c r="J26" s="113">
        <f t="shared" si="4"/>
        <v>10.880847622917512</v>
      </c>
      <c r="K26" s="114">
        <f>[1]!srE2Rng(G$5,H26)</f>
        <v>2.5364636326696464</v>
      </c>
      <c r="L26" s="113">
        <f t="shared" si="9"/>
        <v>9.6235363673303542</v>
      </c>
      <c r="M26" s="109">
        <f>[1]!srE2LETe(G$6,H26,0)</f>
        <v>9.0822014628199916</v>
      </c>
      <c r="N26" s="117">
        <f>[1]!srE2LETn(G$6,H26,0)</f>
        <v>0.25113853718000817</v>
      </c>
      <c r="O26" s="115"/>
      <c r="P26" s="150">
        <f t="shared" si="10"/>
        <v>20.499169999999999</v>
      </c>
      <c r="Q26" s="110">
        <f>[1]!srLETt2E(P$6,P26,0,-1)</f>
        <v>0.20123180952380951</v>
      </c>
      <c r="R26" s="112">
        <f>[1]!srE2Rng(P$6,Q26)</f>
        <v>5.8197291199999999</v>
      </c>
      <c r="S26" s="113">
        <f t="shared" si="5"/>
        <v>19.990270879999997</v>
      </c>
      <c r="T26" s="114">
        <f>[1]!srE2Rng(P$5,Q26)</f>
        <v>5.3106944</v>
      </c>
      <c r="U26" s="113">
        <f t="shared" si="11"/>
        <v>17.4793056</v>
      </c>
      <c r="V26" s="109">
        <f>[1]!srE2LETe(P$6,Q26,0)</f>
        <v>19.967256800000001</v>
      </c>
      <c r="W26" s="117">
        <f>[1]!srE2LETn(P$6,Q26,0)</f>
        <v>0.53191319999999997</v>
      </c>
      <c r="X26" s="115"/>
      <c r="Y26" s="150">
        <f t="shared" si="12"/>
        <v>34.67145</v>
      </c>
      <c r="Z26" s="110">
        <f>[1]!srLETt2E(Y$6,Y26,0,-1)</f>
        <v>0.33487562795843945</v>
      </c>
      <c r="AA26" s="112">
        <f>[1]!srE2Rng(Y$6,Z26)</f>
        <v>8.9280586099857935</v>
      </c>
      <c r="AB26" s="113">
        <f t="shared" si="6"/>
        <v>32.611941390014209</v>
      </c>
      <c r="AC26" s="114">
        <f>[1]!srE2Rng(Y$5,Z26)</f>
        <v>8.1208012837375705</v>
      </c>
      <c r="AD26" s="113">
        <f t="shared" si="13"/>
        <v>28.469198716262433</v>
      </c>
      <c r="AE26" s="109">
        <f>[1]!srE2LETe(Y$6,Z26,0)</f>
        <v>33.92621165886252</v>
      </c>
      <c r="AF26" s="117">
        <f>[1]!srE2LETn(Y$6,Z26,0)</f>
        <v>0.74523834113747578</v>
      </c>
      <c r="AG26" s="115"/>
      <c r="AH26" s="150">
        <f t="shared" si="14"/>
        <v>47.183100000000003</v>
      </c>
      <c r="AI26" s="110">
        <f>[1]!srLETt2E(AH$6,AH26,0,-1)</f>
        <v>0.45342203033642237</v>
      </c>
      <c r="AJ26" s="112">
        <f>[1]!srE2Rng(AH$6,AI26)</f>
        <v>14.436469157769869</v>
      </c>
      <c r="AK26" s="113">
        <f t="shared" si="7"/>
        <v>37.213530842230128</v>
      </c>
      <c r="AL26" s="114">
        <f>[1]!srE2Rng(AH$5,AI26)</f>
        <v>13.093903618030843</v>
      </c>
      <c r="AM26" s="113">
        <f t="shared" si="15"/>
        <v>32.476096381969157</v>
      </c>
      <c r="AN26" s="109">
        <f>[1]!srE2LETe(AH$6,AI26,0)</f>
        <v>46.024800711743772</v>
      </c>
      <c r="AO26" s="117">
        <f>[1]!srE2LETn(AH$6,AI26,0)</f>
        <v>1.1582992882562277</v>
      </c>
      <c r="AP26" s="115"/>
    </row>
    <row r="27" spans="2:42" s="108" customFormat="1">
      <c r="B27" s="25"/>
      <c r="C27" s="25"/>
      <c r="D27" s="25"/>
      <c r="E27" s="25"/>
      <c r="F27" s="141">
        <v>0.6</v>
      </c>
      <c r="G27" s="150">
        <f t="shared" si="8"/>
        <v>11.200007999999999</v>
      </c>
      <c r="H27" s="110">
        <f>[1]!srLETt2E(G$6,G27,0,-1)</f>
        <v>0.15647542460113217</v>
      </c>
      <c r="I27" s="109">
        <f>[1]!srE2Rng(G$6,H27)</f>
        <v>3.6984264539372091</v>
      </c>
      <c r="J27" s="113">
        <f t="shared" si="4"/>
        <v>10.00157354606279</v>
      </c>
      <c r="K27" s="114">
        <f>[1]!srE2Rng(G$5,H27)</f>
        <v>3.3580657745753975</v>
      </c>
      <c r="L27" s="113">
        <f t="shared" si="9"/>
        <v>8.8019342254246027</v>
      </c>
      <c r="M27" s="109">
        <f>[1]!srE2LETe(G$6,H27,0)</f>
        <v>11.017213587236231</v>
      </c>
      <c r="N27" s="117">
        <f>[1]!srE2LETn(G$6,H27,0)</f>
        <v>0.18279441276376746</v>
      </c>
      <c r="O27" s="115"/>
      <c r="P27" s="150">
        <f t="shared" si="10"/>
        <v>24.599003999999997</v>
      </c>
      <c r="Q27" s="110">
        <f>[1]!srLETt2E(P$6,P27,0,-1)</f>
        <v>0.29320697932352124</v>
      </c>
      <c r="R27" s="112">
        <f>[1]!srE2Rng(P$6,Q27)</f>
        <v>7.2847719823189374</v>
      </c>
      <c r="S27" s="113">
        <f t="shared" si="5"/>
        <v>18.525228017681062</v>
      </c>
      <c r="T27" s="114">
        <f>[1]!srE2Rng(P$5,Q27)</f>
        <v>6.6307018021081259</v>
      </c>
      <c r="U27" s="113">
        <f t="shared" si="11"/>
        <v>16.159298197891871</v>
      </c>
      <c r="V27" s="109">
        <f>[1]!srE2LETe(P$6,Q27,0)</f>
        <v>24.200622951377078</v>
      </c>
      <c r="W27" s="117">
        <f>[1]!srE2LETn(P$6,Q27,0)</f>
        <v>0.39838104862291746</v>
      </c>
      <c r="X27" s="115"/>
      <c r="Y27" s="150">
        <f t="shared" si="12"/>
        <v>41.605739999999997</v>
      </c>
      <c r="Z27" s="110">
        <f>[1]!srLETt2E(Y$6,Y27,0,-1)</f>
        <v>0.50518786844153496</v>
      </c>
      <c r="AA27" s="112">
        <f>[1]!srE2Rng(Y$6,Z27)</f>
        <v>11.451849460696826</v>
      </c>
      <c r="AB27" s="113">
        <f t="shared" si="6"/>
        <v>30.088150539303172</v>
      </c>
      <c r="AC27" s="114">
        <f>[1]!srE2Rng(Y$5,Z27)</f>
        <v>10.351631877085435</v>
      </c>
      <c r="AD27" s="113">
        <f t="shared" si="13"/>
        <v>26.238368122914569</v>
      </c>
      <c r="AE27" s="109">
        <f>[1]!srE2LETe(Y$6,Z27,0)</f>
        <v>41.064786839450605</v>
      </c>
      <c r="AF27" s="117">
        <f>[1]!srE2LETn(Y$6,Z27,0)</f>
        <v>0.5409531605493908</v>
      </c>
      <c r="AG27" s="115"/>
      <c r="AH27" s="150">
        <f t="shared" si="14"/>
        <v>56.619720000000001</v>
      </c>
      <c r="AI27" s="110">
        <f>[1]!srLETt2E(AH$6,AH27,0,-1)</f>
        <v>0.62393697535205517</v>
      </c>
      <c r="AJ27" s="112">
        <f>[1]!srE2Rng(AH$6,AI27)</f>
        <v>17.21158439497097</v>
      </c>
      <c r="AK27" s="113">
        <f t="shared" si="7"/>
        <v>34.438415605029029</v>
      </c>
      <c r="AL27" s="114">
        <f>[1]!srE2Rng(AH$5,AI27)</f>
        <v>15.532428553527421</v>
      </c>
      <c r="AM27" s="113">
        <f t="shared" si="15"/>
        <v>30.03757144647258</v>
      </c>
      <c r="AN27" s="109">
        <f>[1]!srE2LETe(AH$6,AI27,0)</f>
        <v>55.714318115366943</v>
      </c>
      <c r="AO27" s="117">
        <f>[1]!srE2LETn(AH$6,AI27,0)</f>
        <v>0.90540188463305626</v>
      </c>
      <c r="AP27" s="115"/>
    </row>
    <row r="28" spans="2:42" s="108" customFormat="1">
      <c r="B28" s="25"/>
      <c r="C28" s="25"/>
      <c r="D28" s="25"/>
      <c r="E28" s="25"/>
      <c r="F28" s="141">
        <v>0.7</v>
      </c>
      <c r="G28" s="150">
        <f t="shared" si="8"/>
        <v>13.066675999999999</v>
      </c>
      <c r="H28" s="110">
        <f>[1]!srLETt2E(G$6,G28,0,-1)</f>
        <v>0.22633339406084893</v>
      </c>
      <c r="I28" s="109">
        <f>[1]!srE2Rng(G$6,H28)</f>
        <v>4.687067443978866</v>
      </c>
      <c r="J28" s="113">
        <f t="shared" si="4"/>
        <v>9.0129325560211342</v>
      </c>
      <c r="K28" s="114">
        <f>[1]!srE2Rng(G$5,H28)</f>
        <v>4.2554673711058477</v>
      </c>
      <c r="L28" s="113">
        <f t="shared" si="9"/>
        <v>7.9045326288941524</v>
      </c>
      <c r="M28" s="109">
        <f>[1]!srE2LETe(G$6,H28,0)</f>
        <v>12.929868026963016</v>
      </c>
      <c r="N28" s="117">
        <f>[1]!srE2LETn(G$6,H28,0)</f>
        <v>0.13680797303698308</v>
      </c>
      <c r="O28" s="115"/>
      <c r="P28" s="150">
        <f t="shared" si="10"/>
        <v>28.698837999999999</v>
      </c>
      <c r="Q28" s="110">
        <f>[1]!srLETt2E(P$6,P28,0,-1)</f>
        <v>0.42506383924515562</v>
      </c>
      <c r="R28" s="112">
        <f>[1]!srE2Rng(P$6,Q28)</f>
        <v>9.0643936494957753</v>
      </c>
      <c r="S28" s="113">
        <f t="shared" si="5"/>
        <v>16.745606350504225</v>
      </c>
      <c r="T28" s="114">
        <f>[1]!srE2Rng(P$5,Q28)</f>
        <v>8.2131078495502852</v>
      </c>
      <c r="U28" s="113">
        <f t="shared" si="11"/>
        <v>14.576892150449714</v>
      </c>
      <c r="V28" s="109">
        <f>[1]!srE2LETe(P$6,Q28,0)</f>
        <v>28.401608748977921</v>
      </c>
      <c r="W28" s="117">
        <f>[1]!srE2LETn(P$6,Q28,0)</f>
        <v>0.29722925102207692</v>
      </c>
      <c r="X28" s="115"/>
      <c r="Y28" s="150">
        <f t="shared" si="12"/>
        <v>48.540029999999994</v>
      </c>
      <c r="Z28" s="110">
        <f>[1]!srLETt2E(Y$6,Y28,0,-1)</f>
        <v>0.74638924007856033</v>
      </c>
      <c r="AA28" s="112">
        <f>[1]!srE2Rng(Y$6,Z28)</f>
        <v>14.477104172133297</v>
      </c>
      <c r="AB28" s="113">
        <f t="shared" si="6"/>
        <v>27.062895827866704</v>
      </c>
      <c r="AC28" s="114">
        <f>[1]!srE2Rng(Y$5,Z28)</f>
        <v>12.994823615848857</v>
      </c>
      <c r="AD28" s="113">
        <f t="shared" si="13"/>
        <v>23.595176384151145</v>
      </c>
      <c r="AE28" s="109">
        <f>[1]!srE2LETe(Y$6,Z28,0)</f>
        <v>48.143535659931771</v>
      </c>
      <c r="AF28" s="117">
        <f>[1]!srE2LETn(Y$6,Z28,0)</f>
        <v>0.39649434006822365</v>
      </c>
      <c r="AG28" s="115"/>
      <c r="AH28" s="150">
        <f t="shared" si="14"/>
        <v>66.056340000000006</v>
      </c>
      <c r="AI28" s="110">
        <f>[1]!srLETt2E(AH$6,AH28,0,-1)</f>
        <v>0.85850864818890382</v>
      </c>
      <c r="AJ28" s="112">
        <f>[1]!srE2Rng(AH$6,AI28)</f>
        <v>20.442329443752126</v>
      </c>
      <c r="AK28" s="113">
        <f t="shared" si="7"/>
        <v>31.207670556247873</v>
      </c>
      <c r="AL28" s="114">
        <f>[1]!srE2Rng(AH$5,AI28)</f>
        <v>18.349319814206414</v>
      </c>
      <c r="AM28" s="113">
        <f t="shared" si="15"/>
        <v>27.220680185793587</v>
      </c>
      <c r="AN28" s="109">
        <f>[1]!srE2LETe(AH$6,AI28,0)</f>
        <v>65.352716664778526</v>
      </c>
      <c r="AO28" s="117">
        <f>[1]!srE2LETn(AH$6,AI28,0)</f>
        <v>0.70362333522147935</v>
      </c>
      <c r="AP28" s="115"/>
    </row>
    <row r="29" spans="2:42" s="108" customFormat="1">
      <c r="B29" s="25"/>
      <c r="C29" s="25"/>
      <c r="D29" s="25"/>
      <c r="E29" s="25"/>
      <c r="F29" s="141">
        <v>0.8</v>
      </c>
      <c r="G29" s="150">
        <f t="shared" si="8"/>
        <v>14.933344</v>
      </c>
      <c r="H29" s="110">
        <f>[1]!srLETt2E(G$6,G29,0,-1)</f>
        <v>0.3257515657620042</v>
      </c>
      <c r="I29" s="109">
        <f>[1]!srE2Rng(G$6,H29)</f>
        <v>5.8984175365344464</v>
      </c>
      <c r="J29" s="113">
        <f t="shared" si="4"/>
        <v>7.8015824634655528</v>
      </c>
      <c r="K29" s="114">
        <f>[1]!srE2Rng(G$5,H29)</f>
        <v>5.3478162839248435</v>
      </c>
      <c r="L29" s="113">
        <f t="shared" si="9"/>
        <v>6.8121837160751566</v>
      </c>
      <c r="M29" s="109">
        <f>[1]!srE2LETe(G$6,H29,0)</f>
        <v>14.831123173277662</v>
      </c>
      <c r="N29" s="117">
        <f>[1]!srE2LETn(G$6,H29,0)</f>
        <v>0.1022208267223382</v>
      </c>
      <c r="O29" s="115"/>
      <c r="P29" s="150">
        <f t="shared" si="10"/>
        <v>32.798672000000003</v>
      </c>
      <c r="Q29" s="110">
        <f>[1]!srLETt2E(P$6,P29,0,-1)</f>
        <v>0.6377393077480692</v>
      </c>
      <c r="R29" s="112">
        <f>[1]!srE2Rng(P$6,Q29)</f>
        <v>11.544113240608915</v>
      </c>
      <c r="S29" s="113">
        <f t="shared" si="5"/>
        <v>14.265886759391083</v>
      </c>
      <c r="T29" s="114">
        <f>[1]!srE2Rng(P$5,Q29)</f>
        <v>10.394131814697186</v>
      </c>
      <c r="U29" s="113">
        <f t="shared" si="11"/>
        <v>12.395868185302813</v>
      </c>
      <c r="V29" s="109">
        <f>[1]!srE2LETe(P$6,Q29,0)</f>
        <v>32.584038944255838</v>
      </c>
      <c r="W29" s="117">
        <f>[1]!srE2LETn(P$6,Q29,0)</f>
        <v>0.21463305574416819</v>
      </c>
      <c r="X29" s="115"/>
      <c r="Y29" s="150">
        <f t="shared" si="12"/>
        <v>55.474320000000006</v>
      </c>
      <c r="Z29" s="110">
        <f>[1]!srLETt2E(Y$6,Y29,0,-1)</f>
        <v>1.0903623125845352</v>
      </c>
      <c r="AA29" s="112">
        <f>[1]!srE2Rng(Y$6,Z29)</f>
        <v>18.222442545109217</v>
      </c>
      <c r="AB29" s="113">
        <f t="shared" si="6"/>
        <v>23.317557454890782</v>
      </c>
      <c r="AC29" s="114">
        <f>[1]!srE2Rng(Y$5,Z29)</f>
        <v>16.25316429249763</v>
      </c>
      <c r="AD29" s="113">
        <f t="shared" si="13"/>
        <v>20.336835707502374</v>
      </c>
      <c r="AE29" s="109">
        <f>[1]!srE2LETe(Y$6,Z29,0)</f>
        <v>55.182761633428306</v>
      </c>
      <c r="AF29" s="117">
        <f>[1]!srE2LETn(Y$6,Z29,0)</f>
        <v>0.29155836657169981</v>
      </c>
      <c r="AG29" s="115"/>
      <c r="AH29" s="150">
        <f t="shared" si="14"/>
        <v>75.492960000000011</v>
      </c>
      <c r="AI29" s="110">
        <f>[1]!srLETt2E(AH$6,AH29,0,-1)</f>
        <v>1.2016410313484522</v>
      </c>
      <c r="AJ29" s="112">
        <f>[1]!srE2Rng(AH$6,AI29)</f>
        <v>24.535882484376643</v>
      </c>
      <c r="AK29" s="113">
        <f t="shared" si="7"/>
        <v>27.114117515623356</v>
      </c>
      <c r="AL29" s="114">
        <f>[1]!srE2Rng(AH$5,AI29)</f>
        <v>21.89678553224174</v>
      </c>
      <c r="AM29" s="113">
        <f t="shared" si="15"/>
        <v>23.67321446775826</v>
      </c>
      <c r="AN29" s="109">
        <f>[1]!srE2LETe(AH$6,AI29,0)</f>
        <v>74.954590161645086</v>
      </c>
      <c r="AO29" s="117">
        <f>[1]!srE2LETn(AH$6,AI29,0)</f>
        <v>0.5383698383549208</v>
      </c>
      <c r="AP29" s="115"/>
    </row>
    <row r="30" spans="2:42">
      <c r="B30" s="25"/>
      <c r="C30" s="25"/>
      <c r="D30" s="25"/>
      <c r="E30" s="25"/>
      <c r="F30" s="61">
        <v>0.85</v>
      </c>
      <c r="G30" s="149">
        <f t="shared" si="8"/>
        <v>15.866677999999999</v>
      </c>
      <c r="H30" s="66">
        <f>[1]!srLETt2E(G$6,G30,0,-1)</f>
        <v>0.39509940064847859</v>
      </c>
      <c r="I30" s="61">
        <f>[1]!srE2Rng(G$6,H30)</f>
        <v>6.6670735270035681</v>
      </c>
      <c r="J30" s="78">
        <f t="shared" si="4"/>
        <v>7.0329264729964311</v>
      </c>
      <c r="K30" s="86">
        <f>[1]!srE2Rng(G$5,H30)</f>
        <v>6.032954246225394</v>
      </c>
      <c r="L30" s="78">
        <f t="shared" si="9"/>
        <v>6.1270457537746061</v>
      </c>
      <c r="M30" s="61">
        <f>[1]!srE2LETe(G$6,H30,0)</f>
        <v>15.779232568041134</v>
      </c>
      <c r="N30" s="29">
        <f>[1]!srE2LETn(G$6,H30,0)</f>
        <v>8.74454319588642E-2</v>
      </c>
      <c r="O30" s="52"/>
      <c r="P30" s="149">
        <f t="shared" si="10"/>
        <v>34.848588999999997</v>
      </c>
      <c r="Q30" s="66">
        <f>[1]!srLETt2E(P$6,P30,0,-1)</f>
        <v>0.80081745905609469</v>
      </c>
      <c r="R30" s="60">
        <f>[1]!srE2Rng(P$6,Q30)</f>
        <v>13.286777320406857</v>
      </c>
      <c r="S30" s="78">
        <f t="shared" si="5"/>
        <v>12.523222679593141</v>
      </c>
      <c r="T30" s="86">
        <f>[1]!srE2Rng(P$5,Q30)</f>
        <v>11.90501598855689</v>
      </c>
      <c r="U30" s="78">
        <f t="shared" si="11"/>
        <v>10.884984011443109</v>
      </c>
      <c r="V30" s="61">
        <f>[1]!srE2LETe(P$6,Q30,0)</f>
        <v>34.670389319771132</v>
      </c>
      <c r="W30" s="29">
        <f>[1]!srE2LETn(P$6,Q30,0)</f>
        <v>0.17819968022886221</v>
      </c>
      <c r="X30" s="52"/>
      <c r="Y30" s="149">
        <f t="shared" si="12"/>
        <v>58.941465000000001</v>
      </c>
      <c r="Z30" s="66">
        <f>[1]!srLETt2E(Y$6,Y30,0,-1)</f>
        <v>1.3204170498067187</v>
      </c>
      <c r="AA30" s="60">
        <f>[1]!srE2Rng(Y$6,Z30)</f>
        <v>20.503538691937543</v>
      </c>
      <c r="AB30" s="78">
        <f t="shared" si="6"/>
        <v>21.036461308062457</v>
      </c>
      <c r="AC30" s="86">
        <f>[1]!srE2Rng(Y$5,Z30)</f>
        <v>18.23488323676716</v>
      </c>
      <c r="AD30" s="78">
        <f t="shared" si="13"/>
        <v>18.355116763232843</v>
      </c>
      <c r="AE30" s="61">
        <f>[1]!srE2LETe(Y$6,Z30,0)</f>
        <v>58.692390209172146</v>
      </c>
      <c r="AF30" s="29">
        <f>[1]!srE2LETn(Y$6,Z30,0)</f>
        <v>0.24907479082785036</v>
      </c>
      <c r="AG30" s="52"/>
      <c r="AH30" s="149">
        <f t="shared" si="14"/>
        <v>80.211269999999999</v>
      </c>
      <c r="AI30" s="66">
        <f>[1]!srLETt2E(AH$6,AH30,0,-1)</f>
        <v>1.4344175153111527</v>
      </c>
      <c r="AJ30" s="60">
        <f>[1]!srE2Rng(AH$6,AI30)</f>
        <v>27.073269327467006</v>
      </c>
      <c r="AK30" s="78">
        <f t="shared" si="7"/>
        <v>24.576730672532992</v>
      </c>
      <c r="AL30" s="86">
        <f>[1]!srE2Rng(AH$5,AI30)</f>
        <v>24.101723623956186</v>
      </c>
      <c r="AM30" s="78">
        <f t="shared" si="15"/>
        <v>21.468276376043814</v>
      </c>
      <c r="AN30" s="61">
        <f>[1]!srE2LETe(AH$6,AI30,0)</f>
        <v>79.74525464667326</v>
      </c>
      <c r="AO30" s="29">
        <f>[1]!srE2LETn(AH$6,AI30,0)</f>
        <v>0.46601535332674859</v>
      </c>
      <c r="AP30" s="52"/>
    </row>
    <row r="31" spans="2:42" s="108" customFormat="1">
      <c r="B31" s="25"/>
      <c r="C31" s="25"/>
      <c r="D31" s="25"/>
      <c r="E31" s="25"/>
      <c r="F31" s="141">
        <v>0.9</v>
      </c>
      <c r="G31" s="150">
        <f t="shared" si="8"/>
        <v>16.800011999999999</v>
      </c>
      <c r="H31" s="110">
        <f>[1]!srLETt2E(G$6,G31,0,-1)</f>
        <v>0.48822514417531726</v>
      </c>
      <c r="I31" s="109">
        <f>[1]!srE2Rng(G$6,H31)</f>
        <v>7.6475414994232995</v>
      </c>
      <c r="J31" s="113">
        <f t="shared" si="4"/>
        <v>6.0524585005766998</v>
      </c>
      <c r="K31" s="114">
        <f>[1]!srE2Rng(G$5,H31)</f>
        <v>6.894026297577855</v>
      </c>
      <c r="L31" s="113">
        <f t="shared" si="9"/>
        <v>5.2659737024221451</v>
      </c>
      <c r="M31" s="109">
        <f>[1]!srE2LETe(G$6,H31,0)</f>
        <v>16.726381268742792</v>
      </c>
      <c r="N31" s="117">
        <f>[1]!srE2LETn(G$6,H31,0)</f>
        <v>7.3630731257208759E-2</v>
      </c>
      <c r="O31" s="115"/>
      <c r="P31" s="150">
        <f t="shared" si="10"/>
        <v>36.898505999999998</v>
      </c>
      <c r="Q31" s="110">
        <f>[1]!srLETt2E(P$6,P31,0,-1)</f>
        <v>1.0349327332559033</v>
      </c>
      <c r="R31" s="112">
        <f>[1]!srE2Rng(P$6,Q31)</f>
        <v>15.641318902439018</v>
      </c>
      <c r="S31" s="113">
        <f t="shared" si="5"/>
        <v>10.168681097560981</v>
      </c>
      <c r="T31" s="114">
        <f>[1]!srE2Rng(P$5,Q31)</f>
        <v>13.950369308943083</v>
      </c>
      <c r="U31" s="113">
        <f t="shared" si="11"/>
        <v>8.8396306910569162</v>
      </c>
      <c r="V31" s="109">
        <f>[1]!srE2LETe(P$6,Q31,0)</f>
        <v>36.754091463414632</v>
      </c>
      <c r="W31" s="117">
        <f>[1]!srE2LETn(P$6,Q31,0)</f>
        <v>0.14441453658536593</v>
      </c>
      <c r="X31" s="115"/>
      <c r="Y31" s="150">
        <f t="shared" si="12"/>
        <v>62.408610000000003</v>
      </c>
      <c r="Z31" s="110">
        <f>[1]!srLETt2E(Y$6,Y31,0,-1)</f>
        <v>1.6167498757441885</v>
      </c>
      <c r="AA31" s="112">
        <f>[1]!srE2Rng(Y$6,Z31)</f>
        <v>23.272675671558424</v>
      </c>
      <c r="AB31" s="113">
        <f t="shared" si="6"/>
        <v>18.267324328441575</v>
      </c>
      <c r="AC31" s="114">
        <f>[1]!srE2Rng(Y$5,Z31)</f>
        <v>20.63465901589397</v>
      </c>
      <c r="AD31" s="113">
        <f t="shared" si="13"/>
        <v>15.955340984106034</v>
      </c>
      <c r="AE31" s="109">
        <f>[1]!srE2LETe(Y$6,Z31,0)</f>
        <v>62.197514294419335</v>
      </c>
      <c r="AF31" s="117">
        <f>[1]!srE2LETn(Y$6,Z31,0)</f>
        <v>0.21109570558066318</v>
      </c>
      <c r="AG31" s="115"/>
      <c r="AH31" s="150">
        <f t="shared" si="14"/>
        <v>84.929580000000001</v>
      </c>
      <c r="AI31" s="110">
        <f>[1]!srLETt2E(AH$6,AH31,0,-1)</f>
        <v>1.7360868741750011</v>
      </c>
      <c r="AJ31" s="112">
        <f>[1]!srE2Rng(AH$6,AI31)</f>
        <v>30.164063001993743</v>
      </c>
      <c r="AK31" s="113">
        <f t="shared" si="7"/>
        <v>21.485936998006256</v>
      </c>
      <c r="AL31" s="114">
        <f>[1]!srE2Rng(AH$5,AI31)</f>
        <v>26.788401025348911</v>
      </c>
      <c r="AM31" s="113">
        <f t="shared" si="15"/>
        <v>18.781598974651089</v>
      </c>
      <c r="AN31" s="109">
        <f>[1]!srE2LETe(AH$6,AI31,0)</f>
        <v>84.531048931928225</v>
      </c>
      <c r="AO31" s="117">
        <f>[1]!srE2LETn(AH$6,AI31,0)</f>
        <v>0.3985310680717743</v>
      </c>
      <c r="AP31" s="115"/>
    </row>
    <row r="32" spans="2:42">
      <c r="B32" s="25"/>
      <c r="C32" s="25"/>
      <c r="D32" s="25"/>
      <c r="E32" s="25"/>
      <c r="F32" s="61">
        <v>0.92</v>
      </c>
      <c r="G32" s="149">
        <f t="shared" si="8"/>
        <v>17.173345600000001</v>
      </c>
      <c r="H32" s="66">
        <f>[1]!srLETt2E(G$6,G32,0,-1)</f>
        <v>0.53739544271407824</v>
      </c>
      <c r="I32" s="61">
        <f>[1]!srE2Rng(G$6,H32)</f>
        <v>8.1469460625579089</v>
      </c>
      <c r="J32" s="78">
        <f t="shared" si="4"/>
        <v>5.5530539374420904</v>
      </c>
      <c r="K32" s="86">
        <f>[1]!srE2Rng(G$5,H32)</f>
        <v>7.3290798958838881</v>
      </c>
      <c r="L32" s="78">
        <f t="shared" si="9"/>
        <v>4.8309201041161121</v>
      </c>
      <c r="M32" s="61">
        <f>[1]!srE2LETe(G$6,H32,0)</f>
        <v>17.105230458375615</v>
      </c>
      <c r="N32" s="29">
        <f>[1]!srE2LETn(G$6,H32,0)</f>
        <v>6.8115141624387823E-2</v>
      </c>
      <c r="O32" s="52"/>
      <c r="P32" s="149">
        <f t="shared" si="10"/>
        <v>37.718472800000001</v>
      </c>
      <c r="Q32" s="66">
        <f>[1]!srLETt2E(P$6,P32,0,-1)</f>
        <v>1.1586855284677011</v>
      </c>
      <c r="R32" s="60">
        <f>[1]!srE2Rng(P$6,Q32)</f>
        <v>16.835572620606708</v>
      </c>
      <c r="S32" s="78">
        <f t="shared" si="5"/>
        <v>8.9744273793932905</v>
      </c>
      <c r="T32" s="86">
        <f>[1]!srE2Rng(P$5,Q32)</f>
        <v>14.992958439128689</v>
      </c>
      <c r="U32" s="78">
        <f t="shared" si="11"/>
        <v>7.7970415608713104</v>
      </c>
      <c r="V32" s="61">
        <f>[1]!srE2LETe(P$6,Q32,0)</f>
        <v>37.587048413737804</v>
      </c>
      <c r="W32" s="29">
        <f>[1]!srE2LETn(P$6,Q32,0)</f>
        <v>0.13142438626219433</v>
      </c>
      <c r="X32" s="52"/>
      <c r="Y32" s="149">
        <f t="shared" si="12"/>
        <v>63.795468</v>
      </c>
      <c r="Z32" s="66">
        <f>[1]!srLETt2E(Y$6,Y32,0,-1)</f>
        <v>1.7585209621316891</v>
      </c>
      <c r="AA32" s="60">
        <f>[1]!srE2Rng(Y$6,Z32)</f>
        <v>24.548784342492933</v>
      </c>
      <c r="AB32" s="78">
        <f t="shared" si="6"/>
        <v>16.991215657507066</v>
      </c>
      <c r="AC32" s="86">
        <f>[1]!srE2Rng(Y$5,Z32)</f>
        <v>21.746086392880763</v>
      </c>
      <c r="AD32" s="78">
        <f t="shared" si="13"/>
        <v>14.843913607119241</v>
      </c>
      <c r="AE32" s="61">
        <f>[1]!srE2LETe(Y$6,Z32,0)</f>
        <v>63.598784342492934</v>
      </c>
      <c r="AF32" s="29">
        <f>[1]!srE2LETn(Y$6,Z32,0)</f>
        <v>0.19668365750706512</v>
      </c>
      <c r="AG32" s="52"/>
      <c r="AH32" s="149">
        <f t="shared" si="14"/>
        <v>86.816904000000008</v>
      </c>
      <c r="AI32" s="66">
        <f>[1]!srLETt2E(AH$6,AH32,0,-1)</f>
        <v>1.8839497143153039</v>
      </c>
      <c r="AJ32" s="60">
        <f>[1]!srE2Rng(AH$6,AI32)</f>
        <v>31.626904686005744</v>
      </c>
      <c r="AK32" s="78">
        <f t="shared" si="7"/>
        <v>20.023095313994254</v>
      </c>
      <c r="AL32" s="86">
        <f>[1]!srE2Rng(AH$5,AI32)</f>
        <v>28.061620886197009</v>
      </c>
      <c r="AM32" s="78">
        <f t="shared" si="15"/>
        <v>17.508379113802992</v>
      </c>
      <c r="AN32" s="61">
        <f>[1]!srE2LETe(AH$6,AI32,0)</f>
        <v>86.444382760599296</v>
      </c>
      <c r="AO32" s="29">
        <f>[1]!srE2LETn(AH$6,AI32,0)</f>
        <v>0.3725212394007012</v>
      </c>
      <c r="AP32" s="52"/>
    </row>
    <row r="33" spans="2:42">
      <c r="B33" s="25"/>
      <c r="C33" s="25"/>
      <c r="D33" s="25"/>
      <c r="E33" s="25"/>
      <c r="F33" s="61">
        <v>0.94</v>
      </c>
      <c r="G33" s="149">
        <f t="shared" si="8"/>
        <v>17.5466792</v>
      </c>
      <c r="H33" s="66">
        <f>[1]!srLETt2E(G$6,G33,0,-1)</f>
        <v>0.59719103732512924</v>
      </c>
      <c r="I33" s="61">
        <f>[1]!srE2Rng(G$6,H33)</f>
        <v>8.7385845242932607</v>
      </c>
      <c r="J33" s="78">
        <f t="shared" si="4"/>
        <v>4.9614154757067386</v>
      </c>
      <c r="K33" s="86">
        <f>[1]!srE2Rng(G$5,H33)</f>
        <v>7.8497305624891167</v>
      </c>
      <c r="L33" s="78">
        <f t="shared" si="9"/>
        <v>4.3102694375108834</v>
      </c>
      <c r="M33" s="61">
        <f>[1]!srE2LETe(G$6,H33,0)</f>
        <v>17.484269809020724</v>
      </c>
      <c r="N33" s="29">
        <f>[1]!srE2LETn(G$6,H33,0)</f>
        <v>6.240939097927671E-2</v>
      </c>
      <c r="O33" s="52"/>
      <c r="P33" s="149">
        <f t="shared" si="10"/>
        <v>38.538439599999997</v>
      </c>
      <c r="Q33" s="66">
        <f>[1]!srLETt2E(P$6,P33,0,-1)</f>
        <v>1.3076233546417615</v>
      </c>
      <c r="R33" s="60">
        <f>[1]!srE2Rng(P$6,Q33)</f>
        <v>18.251960882259599</v>
      </c>
      <c r="S33" s="78">
        <f t="shared" si="5"/>
        <v>7.5580391177403996</v>
      </c>
      <c r="T33" s="86">
        <f>[1]!srE2Rng(P$5,Q33)</f>
        <v>16.214515093621074</v>
      </c>
      <c r="U33" s="78">
        <f t="shared" si="11"/>
        <v>6.5754849063789251</v>
      </c>
      <c r="V33" s="61">
        <f>[1]!srE2LETe(P$6,Q33,0)</f>
        <v>38.419783154554111</v>
      </c>
      <c r="W33" s="29">
        <f>[1]!srE2LETn(P$6,Q33,0)</f>
        <v>0.11865644544589019</v>
      </c>
      <c r="X33" s="52"/>
      <c r="Y33" s="149">
        <f t="shared" si="12"/>
        <v>65.182326000000003</v>
      </c>
      <c r="Z33" s="66">
        <f>[1]!srLETt2E(Y$6,Y33,0,-1)</f>
        <v>1.9198389070873341</v>
      </c>
      <c r="AA33" s="60">
        <f>[1]!srE2Rng(Y$6,Z33)</f>
        <v>25.974269064250642</v>
      </c>
      <c r="AB33" s="78">
        <f t="shared" si="6"/>
        <v>15.565730935749357</v>
      </c>
      <c r="AC33" s="86">
        <f>[1]!srE2Rng(Y$5,Z33)</f>
        <v>22.985551684072206</v>
      </c>
      <c r="AD33" s="78">
        <f t="shared" si="13"/>
        <v>13.604448315927797</v>
      </c>
      <c r="AE33" s="61">
        <f>[1]!srE2LETe(Y$6,Z33,0)</f>
        <v>64.999654166954841</v>
      </c>
      <c r="AF33" s="29">
        <f>[1]!srE2LETn(Y$6,Z33,0)</f>
        <v>0.18267183304516216</v>
      </c>
      <c r="AG33" s="52"/>
      <c r="AH33" s="149">
        <f t="shared" si="14"/>
        <v>88.704228000000001</v>
      </c>
      <c r="AI33" s="66">
        <f>[1]!srLETt2E(AH$6,AH33,0,-1)</f>
        <v>2.0574891958252537</v>
      </c>
      <c r="AJ33" s="60">
        <f>[1]!srE2Rng(AH$6,AI33)</f>
        <v>33.305617835723595</v>
      </c>
      <c r="AK33" s="78">
        <f t="shared" si="7"/>
        <v>18.344382164276404</v>
      </c>
      <c r="AL33" s="86">
        <f>[1]!srE2Rng(AH$5,AI33)</f>
        <v>29.523665606258149</v>
      </c>
      <c r="AM33" s="78">
        <f t="shared" si="15"/>
        <v>16.046334393741851</v>
      </c>
      <c r="AN33" s="61">
        <f>[1]!srE2LETe(AH$6,AI33,0)</f>
        <v>88.357689491525434</v>
      </c>
      <c r="AO33" s="29">
        <f>[1]!srE2LETn(AH$6,AI33,0)</f>
        <v>0.34653850847457623</v>
      </c>
      <c r="AP33" s="52"/>
    </row>
    <row r="34" spans="2:42">
      <c r="B34" s="25"/>
      <c r="C34" s="25"/>
      <c r="D34" s="25"/>
      <c r="E34" s="25"/>
      <c r="F34" s="61">
        <v>0.96</v>
      </c>
      <c r="G34" s="149">
        <f t="shared" si="8"/>
        <v>17.920012799999999</v>
      </c>
      <c r="H34" s="66">
        <f>[1]!srLETt2E(G$6,G34,0,-1)</f>
        <v>0.67492757043276119</v>
      </c>
      <c r="I34" s="61">
        <f>[1]!srE2Rng(G$6,H34)</f>
        <v>9.4893046761545072</v>
      </c>
      <c r="J34" s="78">
        <f t="shared" si="4"/>
        <v>4.2106953238454921</v>
      </c>
      <c r="K34" s="86">
        <f>[1]!srE2Rng(G$5,H34)</f>
        <v>8.5133857972698141</v>
      </c>
      <c r="L34" s="78">
        <f t="shared" si="9"/>
        <v>3.646614202730186</v>
      </c>
      <c r="M34" s="61">
        <f>[1]!srE2LETe(G$6,H34,0)</f>
        <v>17.863675515538773</v>
      </c>
      <c r="N34" s="29">
        <f>[1]!srE2LETn(G$6,H34,0)</f>
        <v>5.633728446122574E-2</v>
      </c>
      <c r="O34" s="52"/>
      <c r="P34" s="149">
        <f t="shared" si="10"/>
        <v>39.3584064</v>
      </c>
      <c r="Q34" s="66">
        <f>[1]!srLETt2E(P$6,P34,0,-1)</f>
        <v>1.5001199477414653</v>
      </c>
      <c r="R34" s="60">
        <f>[1]!srE2Rng(P$6,Q34)</f>
        <v>20.035098241520856</v>
      </c>
      <c r="S34" s="78">
        <f t="shared" si="5"/>
        <v>5.7749017584791424</v>
      </c>
      <c r="T34" s="86">
        <f>[1]!srE2Rng(P$5,Q34)</f>
        <v>17.77095718297689</v>
      </c>
      <c r="U34" s="78">
        <f t="shared" si="11"/>
        <v>5.0190428170231094</v>
      </c>
      <c r="V34" s="61">
        <f>[1]!srE2LETe(P$6,Q34,0)</f>
        <v>39.252473553683302</v>
      </c>
      <c r="W34" s="29">
        <f>[1]!srE2LETn(P$6,Q34,0)</f>
        <v>0.10593284631669901</v>
      </c>
      <c r="X34" s="52"/>
      <c r="Y34" s="149">
        <f t="shared" si="12"/>
        <v>66.569183999999993</v>
      </c>
      <c r="Z34" s="66">
        <f>[1]!srLETt2E(Y$6,Y34,0,-1)</f>
        <v>2.1135935972629487</v>
      </c>
      <c r="AA34" s="60">
        <f>[1]!srE2Rng(Y$6,Z34)</f>
        <v>27.647236451612873</v>
      </c>
      <c r="AB34" s="78">
        <f t="shared" si="6"/>
        <v>13.892763548387126</v>
      </c>
      <c r="AC34" s="86">
        <f>[1]!srE2Rng(Y$5,Z34)</f>
        <v>24.443683870967714</v>
      </c>
      <c r="AD34" s="78">
        <f t="shared" si="13"/>
        <v>12.146316129032289</v>
      </c>
      <c r="AE34" s="61">
        <f>[1]!srE2LETe(Y$6,Z34,0)</f>
        <v>66.40060129032257</v>
      </c>
      <c r="AF34" s="29">
        <f>[1]!srE2LETn(Y$6,Z34,0)</f>
        <v>0.16858270967741959</v>
      </c>
      <c r="AG34" s="52"/>
      <c r="AH34" s="149">
        <f t="shared" si="14"/>
        <v>90.591552000000007</v>
      </c>
      <c r="AI34" s="66">
        <f>[1]!srLETt2E(AH$6,AH34,0,-1)</f>
        <v>2.3287330901717875</v>
      </c>
      <c r="AJ34" s="60">
        <f>[1]!srE2Rng(AH$6,AI34)</f>
        <v>35.86524384940612</v>
      </c>
      <c r="AK34" s="78">
        <f t="shared" si="7"/>
        <v>15.784756150593878</v>
      </c>
      <c r="AL34" s="86">
        <f>[1]!srE2Rng(AH$5,AI34)</f>
        <v>31.760929253070294</v>
      </c>
      <c r="AM34" s="78">
        <f t="shared" si="15"/>
        <v>13.809070746929706</v>
      </c>
      <c r="AN34" s="61">
        <f>[1]!srE2LETe(AH$6,AI34,0)</f>
        <v>90.278712542782372</v>
      </c>
      <c r="AO34" s="29">
        <f>[1]!srE2LETn(AH$6,AI34,0)</f>
        <v>0.31283945721763595</v>
      </c>
      <c r="AP34" s="52"/>
    </row>
    <row r="35" spans="2:42">
      <c r="B35" s="25"/>
      <c r="C35" s="25"/>
      <c r="D35" s="25"/>
      <c r="E35" s="25"/>
      <c r="F35" s="61">
        <v>0.97</v>
      </c>
      <c r="G35" s="149">
        <f t="shared" si="8"/>
        <v>18.1066796</v>
      </c>
      <c r="H35" s="66">
        <f>[1]!srLETt2E(G$6,G35,0,-1)</f>
        <v>0.72730072287987568</v>
      </c>
      <c r="I35" s="61">
        <f>[1]!srE2Rng(G$6,H35)</f>
        <v>9.9920869396468071</v>
      </c>
      <c r="J35" s="78">
        <f t="shared" si="4"/>
        <v>3.7079130603531922</v>
      </c>
      <c r="K35" s="86">
        <f>[1]!srE2Rng(G$5,H35)</f>
        <v>8.9447738986997862</v>
      </c>
      <c r="L35" s="78">
        <f t="shared" si="9"/>
        <v>3.2152261013002139</v>
      </c>
      <c r="M35" s="61">
        <f>[1]!srE2LETe(G$6,H35,0)</f>
        <v>18.053730428876381</v>
      </c>
      <c r="N35" s="29">
        <f>[1]!srE2LETn(G$6,H35,0)</f>
        <v>5.2949171123617321E-2</v>
      </c>
      <c r="O35" s="52"/>
      <c r="P35" s="149">
        <f t="shared" si="10"/>
        <v>39.768389800000001</v>
      </c>
      <c r="Q35" s="66">
        <f>[1]!srLETt2E(P$6,P35,0,-1)</f>
        <v>1.6175088568326361</v>
      </c>
      <c r="R35" s="60">
        <f>[1]!srE2Rng(P$6,Q35)</f>
        <v>21.109911093159614</v>
      </c>
      <c r="S35" s="78">
        <f t="shared" si="5"/>
        <v>4.7000889068403851</v>
      </c>
      <c r="T35" s="86">
        <f>[1]!srE2Rng(P$5,Q35)</f>
        <v>18.701849933550495</v>
      </c>
      <c r="U35" s="78">
        <f t="shared" si="11"/>
        <v>4.0881500664495043</v>
      </c>
      <c r="V35" s="61">
        <f>[1]!srE2LETe(P$6,Q35,0)</f>
        <v>39.668959014983713</v>
      </c>
      <c r="W35" s="29">
        <f>[1]!srE2LETn(P$6,Q35,0)</f>
        <v>9.9430785016286605E-2</v>
      </c>
      <c r="X35" s="52"/>
      <c r="Y35" s="149">
        <f t="shared" si="12"/>
        <v>67.262613000000002</v>
      </c>
      <c r="Z35" s="66">
        <f>[1]!srLETt2E(Y$6,Y35,0,-1)</f>
        <v>2.2648968806730898</v>
      </c>
      <c r="AA35" s="60">
        <f>[1]!srE2Rng(Y$6,Z35)</f>
        <v>28.933435403225801</v>
      </c>
      <c r="AB35" s="78">
        <f t="shared" si="6"/>
        <v>12.606564596774199</v>
      </c>
      <c r="AC35" s="86">
        <f>[1]!srE2Rng(Y$5,Z35)</f>
        <v>25.562117741935481</v>
      </c>
      <c r="AD35" s="78">
        <f t="shared" si="13"/>
        <v>11.027882258064523</v>
      </c>
      <c r="AE35" s="61">
        <f>[1]!srE2LETe(Y$6,Z35,0)</f>
        <v>67.103616866359445</v>
      </c>
      <c r="AF35" s="29">
        <f>[1]!srE2LETn(Y$6,Z35,0)</f>
        <v>0.15899613364055304</v>
      </c>
      <c r="AG35" s="52"/>
      <c r="AH35" s="149">
        <f t="shared" si="14"/>
        <v>91.535214000000011</v>
      </c>
      <c r="AI35" s="66">
        <f>[1]!srLETt2E(AH$6,AH35,0,-1)</f>
        <v>2.5681834697403243</v>
      </c>
      <c r="AJ35" s="60">
        <f>[1]!srE2Rng(AH$6,AI35)</f>
        <v>38.097624317617893</v>
      </c>
      <c r="AK35" s="78">
        <f t="shared" si="7"/>
        <v>13.552375682382106</v>
      </c>
      <c r="AL35" s="86">
        <f>[1]!srE2Rng(AH$5,AI35)</f>
        <v>33.703217885092599</v>
      </c>
      <c r="AM35" s="78">
        <f t="shared" si="15"/>
        <v>11.866782114907402</v>
      </c>
      <c r="AN35" s="61">
        <f>[1]!srE2LETe(AH$6,AI35,0)</f>
        <v>91.246947871731265</v>
      </c>
      <c r="AO35" s="29">
        <f>[1]!srE2LETn(AH$6,AI35,0)</f>
        <v>0.28826612826875331</v>
      </c>
      <c r="AP35" s="52"/>
    </row>
    <row r="36" spans="2:42">
      <c r="B36" s="25"/>
      <c r="C36" s="25"/>
      <c r="D36" s="25"/>
      <c r="E36" s="25"/>
      <c r="F36" s="61">
        <v>0.98</v>
      </c>
      <c r="G36" s="149">
        <f t="shared" si="8"/>
        <v>18.293346400000001</v>
      </c>
      <c r="H36" s="66">
        <f>[1]!srLETt2E(G$6,G36,0,-1)</f>
        <v>0.79460266802834034</v>
      </c>
      <c r="I36" s="61">
        <f>[1]!srE2Rng(G$6,H36)</f>
        <v>10.631049186187534</v>
      </c>
      <c r="J36" s="78">
        <f t="shared" si="4"/>
        <v>3.0689508138124655</v>
      </c>
      <c r="K36" s="86">
        <f>[1]!srE2Rng(G$5,H36)</f>
        <v>9.5010941979957924</v>
      </c>
      <c r="L36" s="78">
        <f t="shared" si="9"/>
        <v>2.6589058020042078</v>
      </c>
      <c r="M36" s="61">
        <f>[1]!srE2LETe(G$6,H36,0)</f>
        <v>18.24418283015255</v>
      </c>
      <c r="N36" s="29">
        <f>[1]!srE2LETn(G$6,H36,0)</f>
        <v>4.9163569847450031E-2</v>
      </c>
      <c r="O36" s="52"/>
      <c r="P36" s="149">
        <f t="shared" si="10"/>
        <v>40.178373199999996</v>
      </c>
      <c r="Q36" s="66">
        <f>[1]!srLETt2E(P$6,P36,0,-1)</f>
        <v>1.756175045871035</v>
      </c>
      <c r="R36" s="60">
        <f>[1]!srE2Rng(P$6,Q36)</f>
        <v>22.364501312288862</v>
      </c>
      <c r="S36" s="78">
        <f t="shared" si="5"/>
        <v>3.4454986877111367</v>
      </c>
      <c r="T36" s="86">
        <f>[1]!srE2Rng(P$5,Q36)</f>
        <v>19.789239458344525</v>
      </c>
      <c r="U36" s="78">
        <f t="shared" si="11"/>
        <v>3.0007605416554739</v>
      </c>
      <c r="V36" s="61">
        <f>[1]!srE2LETe(P$6,Q36,0)</f>
        <v>40.08563593100768</v>
      </c>
      <c r="W36" s="29">
        <f>[1]!srE2LETn(P$6,Q36,0)</f>
        <v>9.2737268992317698E-2</v>
      </c>
      <c r="X36" s="52"/>
      <c r="Y36" s="149">
        <f t="shared" si="12"/>
        <v>67.956041999999997</v>
      </c>
      <c r="Z36" s="66">
        <f>[1]!srLETt2E(Y$6,Y36,0,-1)</f>
        <v>2.5559208394101427</v>
      </c>
      <c r="AA36" s="60">
        <f>[1]!srE2Rng(Y$6,Z36)</f>
        <v>31.382514010695175</v>
      </c>
      <c r="AB36" s="78">
        <f t="shared" si="6"/>
        <v>10.157485989304824</v>
      </c>
      <c r="AC36" s="86">
        <f>[1]!srE2Rng(Y$5,Z36)</f>
        <v>27.703461604278065</v>
      </c>
      <c r="AD36" s="78">
        <f t="shared" si="13"/>
        <v>8.8865383957219386</v>
      </c>
      <c r="AE36" s="61">
        <f>[1]!srE2LETe(Y$6,Z36,0)</f>
        <v>67.812299358288769</v>
      </c>
      <c r="AF36" s="29">
        <f>[1]!srE2LETn(Y$6,Z36,0)</f>
        <v>0.14374264171123</v>
      </c>
      <c r="AG36" s="52"/>
      <c r="AH36" s="149">
        <f t="shared" si="14"/>
        <v>92.478876</v>
      </c>
      <c r="AI36" s="66">
        <f>[1]!srLETt2E(AH$6,AH36,0,-1)</f>
        <v>2.7986063452110148</v>
      </c>
      <c r="AJ36" s="60">
        <f>[1]!srE2Rng(AH$6,AI36)</f>
        <v>40.221500880304838</v>
      </c>
      <c r="AK36" s="78">
        <f t="shared" si="7"/>
        <v>11.428499119695161</v>
      </c>
      <c r="AL36" s="86">
        <f>[1]!srE2Rng(AH$5,AI36)</f>
        <v>35.563813270266735</v>
      </c>
      <c r="AM36" s="78">
        <f t="shared" si="15"/>
        <v>10.006186729733265</v>
      </c>
      <c r="AN36" s="61">
        <f>[1]!srE2LETe(AH$6,AI36,0)</f>
        <v>92.210677020102494</v>
      </c>
      <c r="AO36" s="29">
        <f>[1]!srE2LETn(AH$6,AI36,0)</f>
        <v>0.26819897989751657</v>
      </c>
      <c r="AP36" s="52"/>
    </row>
    <row r="37" spans="2:42">
      <c r="B37" s="25"/>
      <c r="C37" s="25"/>
      <c r="D37" s="25"/>
      <c r="E37" s="25"/>
      <c r="F37" s="61">
        <v>0.99</v>
      </c>
      <c r="G37" s="149">
        <f t="shared" si="8"/>
        <v>18.480013199999998</v>
      </c>
      <c r="H37" s="66">
        <f>[1]!srLETt2E(G$6,G37,0,-1)</f>
        <v>0.88686354247353172</v>
      </c>
      <c r="I37" s="61">
        <f>[1]!srE2Rng(G$6,H37)</f>
        <v>11.490093674154375</v>
      </c>
      <c r="J37" s="78">
        <f>I$38-I37</f>
        <v>2.2099063258456244</v>
      </c>
      <c r="K37" s="86">
        <f>[1]!srE2Rng(G$5,H37)</f>
        <v>10.246806506584019</v>
      </c>
      <c r="L37" s="78">
        <f t="shared" ref="L37:L73" si="16">K$38-K37</f>
        <v>1.9131934934159815</v>
      </c>
      <c r="M37" s="61">
        <f>[1]!srE2LETe(G$6,H37,0)</f>
        <v>18.435185334366121</v>
      </c>
      <c r="N37" s="29">
        <f>[1]!srE2LETn(G$6,H37,0)</f>
        <v>4.4827865633875676E-2</v>
      </c>
      <c r="O37" s="52"/>
      <c r="P37" s="149">
        <f t="shared" si="10"/>
        <v>40.588356599999997</v>
      </c>
      <c r="Q37" s="66">
        <f>[1]!srLETt2E(P$6,P37,0,-1)</f>
        <v>1.9242322061803432</v>
      </c>
      <c r="R37" s="60">
        <f>[1]!srE2Rng(P$6,Q37)</f>
        <v>23.873363563829777</v>
      </c>
      <c r="S37" s="78">
        <f>R$38-R37</f>
        <v>1.9366364361702217</v>
      </c>
      <c r="T37" s="86">
        <f>[1]!srE2Rng(P$5,Q37)</f>
        <v>21.100466489361693</v>
      </c>
      <c r="U37" s="78">
        <f t="shared" si="11"/>
        <v>1.6895335106383058</v>
      </c>
      <c r="V37" s="61">
        <f>[1]!srE2LETe(P$6,Q37,0)</f>
        <v>40.502523138297867</v>
      </c>
      <c r="W37" s="29">
        <f>[1]!srE2LETn(P$6,Q37,0)</f>
        <v>8.5833461702127703E-2</v>
      </c>
      <c r="X37" s="52"/>
      <c r="Y37" s="149">
        <f t="shared" si="12"/>
        <v>68.649471000000005</v>
      </c>
      <c r="Z37" s="66">
        <f>[1]!srLETt2E(Y$6,Y37,0,-1)</f>
        <v>2.8356014839223831</v>
      </c>
      <c r="AA37" s="60">
        <f>[1]!srE2Rng(Y$6,Z37)</f>
        <v>33.706002061122987</v>
      </c>
      <c r="AB37" s="78">
        <f>AA$38-AA37</f>
        <v>7.8339979388770118</v>
      </c>
      <c r="AC37" s="86">
        <f>[1]!srE2Rng(Y$5,Z37)</f>
        <v>29.741326652452052</v>
      </c>
      <c r="AD37" s="78">
        <f t="shared" si="13"/>
        <v>6.8486733475479511</v>
      </c>
      <c r="AE37" s="61">
        <f>[1]!srE2LETe(Y$6,Z37,0)</f>
        <v>68.517949609097386</v>
      </c>
      <c r="AF37" s="29">
        <f>[1]!srE2LETn(Y$6,Z37,0)</f>
        <v>0.13152139090262954</v>
      </c>
      <c r="AG37" s="52"/>
      <c r="AH37" s="149">
        <f t="shared" si="14"/>
        <v>93.422538000000003</v>
      </c>
      <c r="AI37" s="66">
        <f>[1]!srLETt2E(AH$6,AH37,0,-1)</f>
        <v>3.1420815796330546</v>
      </c>
      <c r="AJ37" s="60">
        <f>[1]!srE2Rng(AH$6,AI37)</f>
        <v>43.357341288872284</v>
      </c>
      <c r="AK37" s="78">
        <f>AJ$38-AJ37</f>
        <v>8.2926587111277144</v>
      </c>
      <c r="AL37" s="86">
        <f>[1]!srE2Rng(AH$5,AI37)</f>
        <v>38.303400861746013</v>
      </c>
      <c r="AM37" s="78">
        <f t="shared" si="15"/>
        <v>7.2665991382539872</v>
      </c>
      <c r="AN37" s="61">
        <f>[1]!srE2LETe(AH$6,AI37,0)</f>
        <v>93.17889078306483</v>
      </c>
      <c r="AO37" s="29">
        <f>[1]!srE2LETn(AH$6,AI37,0)</f>
        <v>0.24364721693518138</v>
      </c>
      <c r="AP37" s="52"/>
    </row>
    <row r="38" spans="2:42">
      <c r="B38" s="25"/>
      <c r="C38" s="25"/>
      <c r="D38" s="25"/>
      <c r="E38" s="25"/>
      <c r="F38" s="63">
        <v>1</v>
      </c>
      <c r="G38" s="104">
        <f>[1]!srMaxLETt(G$6,0)</f>
        <v>18.666679999999999</v>
      </c>
      <c r="H38" s="66">
        <f>[1]!srLETt2E(G$6,G38,0,-1)</f>
        <v>1.125</v>
      </c>
      <c r="I38" s="61">
        <f>[1]!srE2Rng(G$6,H38)</f>
        <v>13.7</v>
      </c>
      <c r="J38" s="78">
        <v>0</v>
      </c>
      <c r="K38" s="86">
        <f>[1]!srE2Rng(G$5,H38)</f>
        <v>12.16</v>
      </c>
      <c r="L38" s="78">
        <f t="shared" si="16"/>
        <v>0</v>
      </c>
      <c r="M38" s="61">
        <f>[1]!srE2LETe(G$6,H38,0)</f>
        <v>18.63</v>
      </c>
      <c r="N38" s="29">
        <f>[1]!srE2LETn(G$6,H38,0)</f>
        <v>3.6679999999999997E-2</v>
      </c>
      <c r="O38" s="52"/>
      <c r="P38" s="104">
        <f>[1]!srMaxLETt(P$6,0)</f>
        <v>40.998339999999999</v>
      </c>
      <c r="Q38" s="66">
        <f>[1]!srLETt2E(P$6,P38,0,-1)</f>
        <v>2.1428571428571428</v>
      </c>
      <c r="R38" s="60">
        <f>[1]!srE2Rng(P$6,Q38)</f>
        <v>25.81</v>
      </c>
      <c r="S38" s="78">
        <v>0</v>
      </c>
      <c r="T38" s="86">
        <f>[1]!srE2Rng(P$5,Q38)</f>
        <v>22.79</v>
      </c>
      <c r="U38" s="78">
        <f t="shared" si="11"/>
        <v>0</v>
      </c>
      <c r="V38" s="61">
        <f>[1]!srE2LETe(P$6,Q38,0)</f>
        <v>40.92</v>
      </c>
      <c r="W38" s="29">
        <f>[1]!srE2LETn(P$6,Q38,0)</f>
        <v>7.8340000000000007E-2</v>
      </c>
      <c r="X38" s="52"/>
      <c r="Y38" s="104">
        <f>[1]!srMaxLETt(Y$6,0)</f>
        <v>69.3429</v>
      </c>
      <c r="Z38" s="66">
        <f>[1]!srLETt2E(Y$6,Y38,0,-1)</f>
        <v>3.7878787878787881</v>
      </c>
      <c r="AA38" s="60">
        <f>[1]!srE2Rng(Y$6,Z38)</f>
        <v>41.54</v>
      </c>
      <c r="AB38" s="78">
        <v>0</v>
      </c>
      <c r="AC38" s="86">
        <f>[1]!srE2Rng(Y$5,Z38)</f>
        <v>36.590000000000003</v>
      </c>
      <c r="AD38" s="78">
        <f t="shared" si="13"/>
        <v>0</v>
      </c>
      <c r="AE38" s="61">
        <f>[1]!srE2LETe(Y$6,Z38,0)</f>
        <v>69.239999999999995</v>
      </c>
      <c r="AF38" s="29">
        <f>[1]!srE2LETn(Y$6,Z38,0)</f>
        <v>0.10290000000000001</v>
      </c>
      <c r="AG38" s="52"/>
      <c r="AH38" s="104">
        <f>[1]!srMaxLETt(AH$6,0)</f>
        <v>94.366200000000006</v>
      </c>
      <c r="AI38" s="66">
        <f>[1]!srLETt2E(AH$6,AH38,0,-1)</f>
        <v>4.0609137055837561</v>
      </c>
      <c r="AJ38" s="60">
        <f>[1]!srE2Rng(AH$6,AI38)</f>
        <v>51.65</v>
      </c>
      <c r="AK38" s="78">
        <v>0</v>
      </c>
      <c r="AL38" s="86">
        <f>[1]!srE2Rng(AH$5,AI38)</f>
        <v>45.57</v>
      </c>
      <c r="AM38" s="78">
        <f t="shared" si="15"/>
        <v>0</v>
      </c>
      <c r="AN38" s="61">
        <f>[1]!srE2LETe(AH$6,AI38,0)</f>
        <v>94.17</v>
      </c>
      <c r="AO38" s="29">
        <f>[1]!srE2LETn(AH$6,AI38,0)</f>
        <v>0.19620000000000001</v>
      </c>
      <c r="AP38" s="52"/>
    </row>
    <row r="39" spans="2:42">
      <c r="B39" s="25"/>
      <c r="C39" s="25"/>
      <c r="D39" s="25"/>
      <c r="E39" s="25"/>
      <c r="F39" s="61">
        <f>F38-0.01</f>
        <v>0.99</v>
      </c>
      <c r="G39" s="149">
        <f t="shared" ref="G39:G73" si="17">G$38*$F39</f>
        <v>18.480013199999998</v>
      </c>
      <c r="H39" s="67">
        <f>[1]!srLETt2E(G$6,G39,0,1)</f>
        <v>1.5798873653281134</v>
      </c>
      <c r="I39" s="61">
        <f>[1]!srE2Rng(G$6,H39)</f>
        <v>17.907745739471139</v>
      </c>
      <c r="J39" s="78">
        <f t="shared" ref="J39:J73" si="18">I$38-I39</f>
        <v>-4.2077457394711395</v>
      </c>
      <c r="K39" s="86">
        <f>[1]!srE2Rng(G$5,H39)</f>
        <v>15.815489911851156</v>
      </c>
      <c r="L39" s="78">
        <f t="shared" si="16"/>
        <v>-3.6554899118511557</v>
      </c>
      <c r="M39" s="61">
        <f>[1]!srE2LETe(G$6,H39,0)</f>
        <v>18.452481096963758</v>
      </c>
      <c r="N39" s="29">
        <f>[1]!srE2LETn(G$6,H39,0)</f>
        <v>2.7532103036238927E-2</v>
      </c>
      <c r="O39" s="52"/>
      <c r="P39" s="149">
        <f t="shared" ref="P39:P73" si="19">P$38*$F39</f>
        <v>40.588356599999997</v>
      </c>
      <c r="Q39" s="67">
        <f>[1]!srLETt2E(P$6,P39,0,1)</f>
        <v>3.1665413013328916</v>
      </c>
      <c r="R39" s="60">
        <f>[1]!srE2Rng(P$6,Q39)</f>
        <v>34.884883747068066</v>
      </c>
      <c r="S39" s="78">
        <f t="shared" ref="S39:S73" si="20">R$38-R39</f>
        <v>-9.0748837470680677</v>
      </c>
      <c r="T39" s="86">
        <f>[1]!srE2Rng(P$5,Q39)</f>
        <v>30.723822752150156</v>
      </c>
      <c r="U39" s="78">
        <f t="shared" si="11"/>
        <v>-7.9338227521501565</v>
      </c>
      <c r="V39" s="61">
        <f>[1]!srE2LETe(P$6,Q39,0)</f>
        <v>40.532084245504294</v>
      </c>
      <c r="W39" s="29">
        <f>[1]!srE2LETn(P$6,Q39,0)</f>
        <v>5.6272354495699686E-2</v>
      </c>
      <c r="X39" s="52"/>
      <c r="Y39" s="149">
        <f t="shared" ref="Y39:Y73" si="21">Y$38*$F39</f>
        <v>68.649471000000005</v>
      </c>
      <c r="Z39" s="67">
        <f>[1]!srLETt2E(Y$6,Y39,0,1)</f>
        <v>4.67964228490351</v>
      </c>
      <c r="AA39" s="60">
        <f>[1]!srE2Rng(Y$6,Z39)</f>
        <v>48.882362684936133</v>
      </c>
      <c r="AB39" s="78">
        <f t="shared" ref="AB39:AB73" si="22">AA$38-AA39</f>
        <v>-7.3423626849361341</v>
      </c>
      <c r="AC39" s="86">
        <f>[1]!srE2Rng(Y$5,Z39)</f>
        <v>43.027745544720936</v>
      </c>
      <c r="AD39" s="78">
        <f t="shared" si="13"/>
        <v>-6.4377455447209329</v>
      </c>
      <c r="AE39" s="61">
        <f>[1]!srE2LETe(Y$6,Z39,0)</f>
        <v>68.563499852891724</v>
      </c>
      <c r="AF39" s="29">
        <f>[1]!srE2LETn(Y$6,Z39,0)</f>
        <v>8.5971147108271639E-2</v>
      </c>
      <c r="AG39" s="52"/>
      <c r="AH39" s="149">
        <f t="shared" ref="AH39:AH72" si="23">AH$38*$F39</f>
        <v>93.422538000000003</v>
      </c>
      <c r="AI39" s="67">
        <f>[1]!srLETt2E(AH$6,AH39,0,1)</f>
        <v>5.3960746859100164</v>
      </c>
      <c r="AJ39" s="60">
        <f>[1]!srE2Rng(AH$6,AI39)</f>
        <v>63.705531475028991</v>
      </c>
      <c r="AK39" s="78">
        <f t="shared" ref="AK39:AK72" si="24">AJ$38-AJ39</f>
        <v>-12.055531475028992</v>
      </c>
      <c r="AL39" s="86">
        <f>[1]!srE2Rng(AH$5,AI39)</f>
        <v>56.136279210220643</v>
      </c>
      <c r="AM39" s="78">
        <f t="shared" si="15"/>
        <v>-10.566279210220642</v>
      </c>
      <c r="AN39" s="61">
        <f>[1]!srE2LETe(AH$6,AI39,0)</f>
        <v>93.268142392566787</v>
      </c>
      <c r="AO39" s="29">
        <f>[1]!srE2LETn(AH$6,AI39,0)</f>
        <v>0.15439560743321731</v>
      </c>
      <c r="AP39" s="52"/>
    </row>
    <row r="40" spans="2:42">
      <c r="B40" s="25"/>
      <c r="C40" s="25"/>
      <c r="D40" s="25"/>
      <c r="E40" s="25"/>
      <c r="F40" s="61">
        <f t="shared" ref="F40:F48" si="25">F39-0.01</f>
        <v>0.98</v>
      </c>
      <c r="G40" s="149">
        <f t="shared" si="17"/>
        <v>18.293346400000001</v>
      </c>
      <c r="H40" s="67">
        <f>[1]!srLETt2E(G$6,G40,0,1)</f>
        <v>1.7803113580998795</v>
      </c>
      <c r="I40" s="61">
        <f>[1]!srE2Rng(G$6,H40)</f>
        <v>19.786139220462861</v>
      </c>
      <c r="J40" s="78">
        <f t="shared" si="18"/>
        <v>-6.0861392204628615</v>
      </c>
      <c r="K40" s="86">
        <f>[1]!srE2Rng(G$5,H40)</f>
        <v>17.449765590743006</v>
      </c>
      <c r="L40" s="78">
        <f t="shared" si="16"/>
        <v>-5.2897655907430057</v>
      </c>
      <c r="M40" s="61">
        <f>[1]!srE2LETe(G$6,H40,0)</f>
        <v>18.268476187576127</v>
      </c>
      <c r="N40" s="29">
        <f>[1]!srE2LETn(G$6,H40,0)</f>
        <v>2.4870212423873311E-2</v>
      </c>
      <c r="O40" s="52"/>
      <c r="P40" s="149">
        <f t="shared" si="19"/>
        <v>40.178373199999996</v>
      </c>
      <c r="Q40" s="67">
        <f>[1]!srLETt2E(P$6,P40,0,1)</f>
        <v>3.6400915090483372</v>
      </c>
      <c r="R40" s="60">
        <f>[1]!srE2Rng(P$6,Q40)</f>
        <v>39.128296020678462</v>
      </c>
      <c r="S40" s="78">
        <f t="shared" si="20"/>
        <v>-13.318296020678464</v>
      </c>
      <c r="T40" s="86">
        <f>[1]!srE2Rng(P$5,Q40)</f>
        <v>34.432162555445672</v>
      </c>
      <c r="U40" s="78">
        <f t="shared" si="11"/>
        <v>-11.642162555445672</v>
      </c>
      <c r="V40" s="61">
        <f>[1]!srE2LETe(P$6,Q40,0)</f>
        <v>40.128480684175251</v>
      </c>
      <c r="W40" s="29">
        <f>[1]!srE2LETn(P$6,Q40,0)</f>
        <v>4.9892515824743869E-2</v>
      </c>
      <c r="X40" s="52"/>
      <c r="Y40" s="149">
        <f t="shared" si="21"/>
        <v>67.956041999999997</v>
      </c>
      <c r="Z40" s="67">
        <f>[1]!srLETt2E(Y$6,Y40,0,1)</f>
        <v>5.1831033765253185</v>
      </c>
      <c r="AA40" s="60">
        <f>[1]!srE2Rng(Y$6,Z40)</f>
        <v>53.06952160832482</v>
      </c>
      <c r="AB40" s="78">
        <f t="shared" si="22"/>
        <v>-11.529521608324821</v>
      </c>
      <c r="AC40" s="86">
        <f>[1]!srE2Rng(Y$5,Z40)</f>
        <v>46.70983230099462</v>
      </c>
      <c r="AD40" s="78">
        <f t="shared" si="13"/>
        <v>-10.119832300994617</v>
      </c>
      <c r="AE40" s="61">
        <f>[1]!srE2LETe(Y$6,Z40,0)</f>
        <v>67.877299968144968</v>
      </c>
      <c r="AF40" s="29">
        <f>[1]!srE2LETn(Y$6,Z40,0)</f>
        <v>7.874203185502418E-2</v>
      </c>
      <c r="AG40" s="52"/>
      <c r="AH40" s="149">
        <f t="shared" si="23"/>
        <v>92.478876</v>
      </c>
      <c r="AI40" s="67">
        <f>[1]!srLETt2E(AH$6,AH40,0,1)</f>
        <v>6.0845097427610924</v>
      </c>
      <c r="AJ40" s="60">
        <f>[1]!srE2Rng(AH$6,AI40)</f>
        <v>69.987286656630587</v>
      </c>
      <c r="AK40" s="78">
        <f t="shared" si="24"/>
        <v>-18.337286656630589</v>
      </c>
      <c r="AL40" s="86">
        <f>[1]!srE2Rng(AH$5,AI40)</f>
        <v>61.65485550841656</v>
      </c>
      <c r="AM40" s="78">
        <f t="shared" si="15"/>
        <v>-16.08485550841656</v>
      </c>
      <c r="AN40" s="61">
        <f>[1]!srE2LETe(AH$6,AI40,0)</f>
        <v>92.339731380867661</v>
      </c>
      <c r="AO40" s="29">
        <f>[1]!srE2LETn(AH$6,AI40,0)</f>
        <v>0.13914461913233894</v>
      </c>
      <c r="AP40" s="52"/>
    </row>
    <row r="41" spans="2:42">
      <c r="B41" s="25"/>
      <c r="C41" s="25"/>
      <c r="D41" s="25"/>
      <c r="E41" s="25"/>
      <c r="F41" s="61">
        <f t="shared" si="25"/>
        <v>0.97</v>
      </c>
      <c r="G41" s="149">
        <f t="shared" si="17"/>
        <v>18.1066796</v>
      </c>
      <c r="H41" s="67">
        <f>[1]!srLETt2E(G$6,G41,0,1)</f>
        <v>1.9579403928136432</v>
      </c>
      <c r="I41" s="61">
        <f>[1]!srE2Rng(G$6,H41)</f>
        <v>21.462957308160792</v>
      </c>
      <c r="J41" s="78">
        <f t="shared" si="18"/>
        <v>-7.762957308160793</v>
      </c>
      <c r="K41" s="86">
        <f>[1]!srE2Rng(G$5,H41)</f>
        <v>18.913428836784423</v>
      </c>
      <c r="L41" s="78">
        <f t="shared" si="16"/>
        <v>-6.7534288367844226</v>
      </c>
      <c r="M41" s="61">
        <f>[1]!srE2LETe(G$6,H41,0)</f>
        <v>18.083741991473811</v>
      </c>
      <c r="N41" s="29">
        <f>[1]!srE2LETn(G$6,H41,0)</f>
        <v>2.293760852618756E-2</v>
      </c>
      <c r="O41" s="52"/>
      <c r="P41" s="149">
        <f t="shared" si="19"/>
        <v>39.768389800000001</v>
      </c>
      <c r="Q41" s="67">
        <f>[1]!srLETt2E(P$6,P41,0,1)</f>
        <v>4.0114903620407674</v>
      </c>
      <c r="R41" s="60">
        <f>[1]!srE2Rng(P$6,Q41)</f>
        <v>42.487026640598408</v>
      </c>
      <c r="S41" s="78">
        <f t="shared" si="20"/>
        <v>-16.67702664059841</v>
      </c>
      <c r="T41" s="86">
        <f>[1]!srE2Rng(P$5,Q41)</f>
        <v>37.379086127167604</v>
      </c>
      <c r="U41" s="78">
        <f t="shared" si="11"/>
        <v>-14.589086127167604</v>
      </c>
      <c r="V41" s="61">
        <f>[1]!srE2LETe(P$6,Q41,0)</f>
        <v>39.722487334240057</v>
      </c>
      <c r="W41" s="29">
        <f>[1]!srE2LETn(P$6,Q41,0)</f>
        <v>4.5902465759945624E-2</v>
      </c>
      <c r="X41" s="52"/>
      <c r="Y41" s="149">
        <f t="shared" si="21"/>
        <v>67.262613000000002</v>
      </c>
      <c r="Z41" s="67">
        <f>[1]!srLETt2E(Y$6,Y41,0,1)</f>
        <v>5.6009530479863807</v>
      </c>
      <c r="AA41" s="60">
        <f>[1]!srE2Rng(Y$6,Z41)</f>
        <v>56.594716509855786</v>
      </c>
      <c r="AB41" s="78">
        <f t="shared" si="22"/>
        <v>-15.054716509855787</v>
      </c>
      <c r="AC41" s="86">
        <f>[1]!srE2Rng(Y$5,Z41)</f>
        <v>49.804042671415587</v>
      </c>
      <c r="AD41" s="78">
        <f t="shared" si="13"/>
        <v>-13.214042671415584</v>
      </c>
      <c r="AE41" s="61">
        <f>[1]!srE2LETe(Y$6,Z41,0)</f>
        <v>67.188764569655376</v>
      </c>
      <c r="AF41" s="29">
        <f>[1]!srE2LETn(Y$6,Z41,0)</f>
        <v>7.3848430344627264E-2</v>
      </c>
      <c r="AG41" s="52"/>
      <c r="AH41" s="149">
        <f t="shared" si="23"/>
        <v>91.535214000000011</v>
      </c>
      <c r="AI41" s="67">
        <f>[1]!srLETt2E(AH$6,AH41,0,1)</f>
        <v>6.6726929584797565</v>
      </c>
      <c r="AJ41" s="60">
        <f>[1]!srE2Rng(AH$6,AI41)</f>
        <v>75.406820256410214</v>
      </c>
      <c r="AK41" s="78">
        <f t="shared" si="24"/>
        <v>-23.756820256410215</v>
      </c>
      <c r="AL41" s="86">
        <f>[1]!srE2Rng(AH$5,AI41)</f>
        <v>66.422601282051247</v>
      </c>
      <c r="AM41" s="78">
        <f t="shared" si="15"/>
        <v>-20.852601282051246</v>
      </c>
      <c r="AN41" s="61">
        <f>[1]!srE2LETe(AH$6,AI41,0)</f>
        <v>91.406575641025654</v>
      </c>
      <c r="AO41" s="29">
        <f>[1]!srE2LETn(AH$6,AI41,0)</f>
        <v>0.12863835897435905</v>
      </c>
      <c r="AP41" s="52"/>
    </row>
    <row r="42" spans="2:42">
      <c r="B42" s="25"/>
      <c r="C42" s="25"/>
      <c r="D42" s="25"/>
      <c r="E42" s="25"/>
      <c r="F42" s="61">
        <f t="shared" si="25"/>
        <v>0.96</v>
      </c>
      <c r="G42" s="149">
        <f t="shared" si="17"/>
        <v>17.920012799999999</v>
      </c>
      <c r="H42" s="67">
        <f>[1]!srLETt2E(G$6,G42,0,1)</f>
        <v>2.1011381190368037</v>
      </c>
      <c r="I42" s="61">
        <f>[1]!srE2Rng(G$6,H42)</f>
        <v>22.834971467514787</v>
      </c>
      <c r="J42" s="78">
        <f t="shared" si="18"/>
        <v>-9.1349714675147879</v>
      </c>
      <c r="K42" s="86">
        <f>[1]!srE2Rng(G$5,H42)</f>
        <v>20.109560199909151</v>
      </c>
      <c r="L42" s="78">
        <f t="shared" si="16"/>
        <v>-7.9495601999091505</v>
      </c>
      <c r="M42" s="61">
        <f>[1]!srE2LETe(G$6,H42,0)</f>
        <v>17.898406633348475</v>
      </c>
      <c r="N42" s="29">
        <f>[1]!srE2LETn(G$6,H42,0)</f>
        <v>2.1606166651522016E-2</v>
      </c>
      <c r="O42" s="52"/>
      <c r="P42" s="149">
        <f t="shared" si="19"/>
        <v>39.3584064</v>
      </c>
      <c r="Q42" s="67">
        <f>[1]!srLETt2E(P$6,P42,0,1)</f>
        <v>4.3424666656708668</v>
      </c>
      <c r="R42" s="60">
        <f>[1]!srE2Rng(P$6,Q42)</f>
        <v>45.512578230865728</v>
      </c>
      <c r="S42" s="78">
        <f t="shared" si="20"/>
        <v>-19.702578230865729</v>
      </c>
      <c r="T42" s="86">
        <f>[1]!srE2Rng(P$5,Q42)</f>
        <v>40.031744312003326</v>
      </c>
      <c r="U42" s="78">
        <f t="shared" si="11"/>
        <v>-17.241744312003327</v>
      </c>
      <c r="V42" s="61">
        <f>[1]!srE2LETe(P$6,Q42,0)</f>
        <v>39.315538561271438</v>
      </c>
      <c r="W42" s="29">
        <f>[1]!srE2LETn(P$6,Q42,0)</f>
        <v>4.2867838728565477E-2</v>
      </c>
      <c r="X42" s="52"/>
      <c r="Y42" s="149">
        <f t="shared" si="21"/>
        <v>66.569183999999993</v>
      </c>
      <c r="Z42" s="67">
        <f>[1]!srLETt2E(Y$6,Y42,0,1)</f>
        <v>6.0024640884413047</v>
      </c>
      <c r="AA42" s="60">
        <f>[1]!srE2Rng(Y$6,Z42)</f>
        <v>59.997281671086995</v>
      </c>
      <c r="AB42" s="78">
        <f t="shared" si="22"/>
        <v>-18.457281671086996</v>
      </c>
      <c r="AC42" s="86">
        <f>[1]!srE2Rng(Y$5,Z42)</f>
        <v>52.787912119660398</v>
      </c>
      <c r="AD42" s="78">
        <f t="shared" si="13"/>
        <v>-16.197912119660394</v>
      </c>
      <c r="AE42" s="61">
        <f>[1]!srE2LETe(Y$6,Z42,0)</f>
        <v>66.499771624234725</v>
      </c>
      <c r="AF42" s="29">
        <f>[1]!srE2LETn(Y$6,Z42,0)</f>
        <v>6.9412375765265086E-2</v>
      </c>
      <c r="AG42" s="52"/>
      <c r="AH42" s="149">
        <f t="shared" si="23"/>
        <v>90.591552000000007</v>
      </c>
      <c r="AI42" s="67">
        <f>[1]!srLETt2E(AH$6,AH42,0,1)</f>
        <v>7.2269201494800779</v>
      </c>
      <c r="AJ42" s="60">
        <f>[1]!srE2Rng(AH$6,AI42)</f>
        <v>80.578275625704592</v>
      </c>
      <c r="AK42" s="78">
        <f t="shared" si="24"/>
        <v>-28.928275625704593</v>
      </c>
      <c r="AL42" s="86">
        <f>[1]!srE2Rng(AH$5,AI42)</f>
        <v>70.963166989853406</v>
      </c>
      <c r="AM42" s="78">
        <f t="shared" si="15"/>
        <v>-25.393166989853405</v>
      </c>
      <c r="AN42" s="61">
        <f>[1]!srE2LETe(AH$6,AI42,0)</f>
        <v>90.471411228861342</v>
      </c>
      <c r="AO42" s="29">
        <f>[1]!srE2LETn(AH$6,AI42,0)</f>
        <v>0.12014077113866974</v>
      </c>
      <c r="AP42" s="52"/>
    </row>
    <row r="43" spans="2:42">
      <c r="B43" s="7"/>
      <c r="C43" s="7"/>
      <c r="D43" s="7"/>
      <c r="E43" s="7"/>
      <c r="F43" s="61">
        <f t="shared" si="25"/>
        <v>0.95</v>
      </c>
      <c r="G43" s="149">
        <f t="shared" si="17"/>
        <v>17.733345999999997</v>
      </c>
      <c r="H43" s="67">
        <f>[1]!srLETt2E(G$6,G43,0,1)</f>
        <v>2.2336537369377596</v>
      </c>
      <c r="I43" s="61">
        <f>[1]!srE2Rng(G$6,H43)</f>
        <v>24.112422024080001</v>
      </c>
      <c r="J43" s="78">
        <f t="shared" si="18"/>
        <v>-10.412422024080001</v>
      </c>
      <c r="K43" s="86">
        <f>[1]!srE2Rng(G$5,H43)</f>
        <v>21.222691390277181</v>
      </c>
      <c r="L43" s="78">
        <f t="shared" si="16"/>
        <v>-9.0626913902771804</v>
      </c>
      <c r="M43" s="61">
        <f>[1]!srE2LETe(G$6,H43,0)</f>
        <v>17.712884768287136</v>
      </c>
      <c r="N43" s="29">
        <f>[1]!srE2LETn(G$6,H43,0)</f>
        <v>2.0461231712857759E-2</v>
      </c>
      <c r="O43" s="52"/>
      <c r="P43" s="149">
        <f t="shared" si="19"/>
        <v>38.948422999999998</v>
      </c>
      <c r="Q43" s="67">
        <f>[1]!srLETt2E(P$6,P43,0,1)</f>
        <v>4.6517612252846039</v>
      </c>
      <c r="R43" s="60">
        <f>[1]!srE2Rng(P$6,Q43)</f>
        <v>48.368572898799307</v>
      </c>
      <c r="S43" s="78">
        <f t="shared" si="20"/>
        <v>-22.558572898799309</v>
      </c>
      <c r="T43" s="86">
        <f>[1]!srE2Rng(P$5,Q43)</f>
        <v>42.534400875034173</v>
      </c>
      <c r="U43" s="78">
        <f t="shared" si="11"/>
        <v>-19.744400875034174</v>
      </c>
      <c r="V43" s="61">
        <f>[1]!srE2LETe(P$6,Q43,0)</f>
        <v>38.90803291321749</v>
      </c>
      <c r="W43" s="29">
        <f>[1]!srE2LETn(P$6,Q43,0)</f>
        <v>4.0390086782509271E-2</v>
      </c>
      <c r="X43" s="52"/>
      <c r="Y43" s="149">
        <f t="shared" si="21"/>
        <v>65.875754999999998</v>
      </c>
      <c r="Z43" s="67">
        <f>[1]!srLETt2E(Y$6,Y43,0,1)</f>
        <v>6.3690218007487109</v>
      </c>
      <c r="AA43" s="60">
        <f>[1]!srE2Rng(Y$6,Z43)</f>
        <v>63.160633577043235</v>
      </c>
      <c r="AB43" s="78">
        <f t="shared" si="22"/>
        <v>-21.620633577043236</v>
      </c>
      <c r="AC43" s="86">
        <f>[1]!srE2Rng(Y$5,Z43)</f>
        <v>55.5649465554526</v>
      </c>
      <c r="AD43" s="78">
        <f t="shared" si="13"/>
        <v>-18.974946555452597</v>
      </c>
      <c r="AE43" s="61">
        <f>[1]!srE2LETe(Y$6,Z43,0)</f>
        <v>65.809692273366977</v>
      </c>
      <c r="AF43" s="29">
        <f>[1]!srE2LETn(Y$6,Z43,0)</f>
        <v>6.6062726633027813E-2</v>
      </c>
      <c r="AG43" s="52"/>
      <c r="AH43" s="149">
        <f t="shared" si="23"/>
        <v>89.647890000000004</v>
      </c>
      <c r="AI43" s="67">
        <f>[1]!srLETt2E(AH$6,AH43,0,1)</f>
        <v>7.7653929677136482</v>
      </c>
      <c r="AJ43" s="60">
        <f>[1]!srE2Rng(AH$6,AI43)</f>
        <v>85.645512385628166</v>
      </c>
      <c r="AK43" s="78">
        <f t="shared" si="24"/>
        <v>-33.995512385628167</v>
      </c>
      <c r="AL43" s="86">
        <f>[1]!srE2Rng(AH$5,AI43)</f>
        <v>75.419796139254601</v>
      </c>
      <c r="AM43" s="78">
        <f t="shared" si="15"/>
        <v>-29.8497961392546</v>
      </c>
      <c r="AN43" s="61">
        <f>[1]!srE2LETe(AH$6,AI43,0)</f>
        <v>89.534936509707663</v>
      </c>
      <c r="AO43" s="29">
        <f>[1]!srE2LETn(AH$6,AI43,0)</f>
        <v>0.1129534902923455</v>
      </c>
      <c r="AP43" s="52"/>
    </row>
    <row r="44" spans="2:42">
      <c r="B44" s="7"/>
      <c r="C44" s="7"/>
      <c r="D44" s="7"/>
      <c r="E44" s="7"/>
      <c r="F44" s="61">
        <f t="shared" si="25"/>
        <v>0.94</v>
      </c>
      <c r="G44" s="149">
        <f t="shared" si="17"/>
        <v>17.5466792</v>
      </c>
      <c r="H44" s="67">
        <f>[1]!srLETt2E(G$6,G44,0,1)</f>
        <v>2.3315317775076245</v>
      </c>
      <c r="I44" s="61">
        <f>[1]!srE2Rng(G$6,H44)</f>
        <v>25.075533961775328</v>
      </c>
      <c r="J44" s="78">
        <f t="shared" si="18"/>
        <v>-11.375533961775329</v>
      </c>
      <c r="K44" s="86">
        <f>[1]!srE2Rng(G$5,H44)</f>
        <v>22.064434557665876</v>
      </c>
      <c r="L44" s="78">
        <f t="shared" si="16"/>
        <v>-9.9044345576658763</v>
      </c>
      <c r="M44" s="61">
        <f>[1]!srE2LETe(G$6,H44,0)</f>
        <v>17.526936444984752</v>
      </c>
      <c r="N44" s="29">
        <f>[1]!srE2LETn(G$6,H44,0)</f>
        <v>1.974275501524602E-2</v>
      </c>
      <c r="O44" s="52"/>
      <c r="P44" s="149">
        <f t="shared" si="19"/>
        <v>38.538439599999997</v>
      </c>
      <c r="Q44" s="67">
        <f>[1]!srLETt2E(P$6,P44,0,1)</f>
        <v>4.9460921659350259</v>
      </c>
      <c r="R44" s="60">
        <f>[1]!srE2Rng(P$6,Q44)</f>
        <v>51.129023793892138</v>
      </c>
      <c r="S44" s="78">
        <f t="shared" si="20"/>
        <v>-25.319023793892139</v>
      </c>
      <c r="T44" s="86">
        <f>[1]!srE2Rng(P$5,Q44)</f>
        <v>44.955513755140259</v>
      </c>
      <c r="U44" s="78">
        <f t="shared" si="11"/>
        <v>-22.16551375514026</v>
      </c>
      <c r="V44" s="61">
        <f>[1]!srE2LETe(P$6,Q44,0)</f>
        <v>38.500074735432491</v>
      </c>
      <c r="W44" s="29">
        <f>[1]!srE2LETn(P$6,Q44,0)</f>
        <v>3.8364864567507671E-2</v>
      </c>
      <c r="X44" s="52"/>
      <c r="Y44" s="149">
        <f t="shared" si="21"/>
        <v>65.182326000000003</v>
      </c>
      <c r="Z44" s="67">
        <f>[1]!srLETt2E(Y$6,Y44,0,1)</f>
        <v>6.7296609384962771</v>
      </c>
      <c r="AA44" s="60">
        <f>[1]!srE2Rng(Y$6,Z44)</f>
        <v>66.283479998626959</v>
      </c>
      <c r="AB44" s="78">
        <f t="shared" si="22"/>
        <v>-24.74347999862696</v>
      </c>
      <c r="AC44" s="86">
        <f>[1]!srE2Rng(Y$5,Z44)</f>
        <v>58.306958047574888</v>
      </c>
      <c r="AD44" s="78">
        <f t="shared" si="13"/>
        <v>-21.716958047574884</v>
      </c>
      <c r="AE44" s="61">
        <f>[1]!srE2LETe(Y$6,Z44,0)</f>
        <v>65.119428963718136</v>
      </c>
      <c r="AF44" s="29">
        <f>[1]!srE2LETn(Y$6,Z44,0)</f>
        <v>6.2897036281879676E-2</v>
      </c>
      <c r="AG44" s="52"/>
      <c r="AH44" s="149">
        <f t="shared" si="23"/>
        <v>88.704228000000001</v>
      </c>
      <c r="AI44" s="67">
        <f>[1]!srLETt2E(AH$6,AH44,0,1)</f>
        <v>8.2980611996064635</v>
      </c>
      <c r="AJ44" s="60">
        <f>[1]!srE2Rng(AH$6,AI44)</f>
        <v>90.717297537272202</v>
      </c>
      <c r="AK44" s="78">
        <f t="shared" si="24"/>
        <v>-39.067297537272204</v>
      </c>
      <c r="AL44" s="86">
        <f>[1]!srE2Rng(AH$5,AI44)</f>
        <v>79.875932810601867</v>
      </c>
      <c r="AM44" s="78">
        <f t="shared" si="15"/>
        <v>-34.305932810601867</v>
      </c>
      <c r="AN44" s="61">
        <f>[1]!srE2LETe(AH$6,AI44,0)</f>
        <v>88.597537493097732</v>
      </c>
      <c r="AO44" s="29">
        <f>[1]!srE2LETn(AH$6,AI44,0)</f>
        <v>0.10669050690226396</v>
      </c>
      <c r="AP44" s="52"/>
    </row>
    <row r="45" spans="2:42">
      <c r="B45" s="7"/>
      <c r="C45" s="7"/>
      <c r="D45" s="7"/>
      <c r="E45" s="7"/>
      <c r="F45" s="61">
        <f t="shared" si="25"/>
        <v>0.92999999999999994</v>
      </c>
      <c r="G45" s="149">
        <f t="shared" si="17"/>
        <v>17.360012399999999</v>
      </c>
      <c r="H45" s="67">
        <f>[1]!srLETt2E(G$6,G45,0,1)</f>
        <v>2.4245359427626223</v>
      </c>
      <c r="I45" s="61">
        <f>[1]!srE2Rng(G$6,H45)</f>
        <v>25.994415114494707</v>
      </c>
      <c r="J45" s="78">
        <f t="shared" si="18"/>
        <v>-12.294415114494708</v>
      </c>
      <c r="K45" s="86">
        <f>[1]!srE2Rng(G$5,H45)</f>
        <v>22.867990545469056</v>
      </c>
      <c r="L45" s="78">
        <f t="shared" si="16"/>
        <v>-10.707990545469055</v>
      </c>
      <c r="M45" s="61">
        <f>[1]!srE2LETe(G$6,H45,0)</f>
        <v>17.340928114474757</v>
      </c>
      <c r="N45" s="29">
        <f>[1]!srE2LETn(G$6,H45,0)</f>
        <v>1.9084285525240635E-2</v>
      </c>
      <c r="O45" s="52"/>
      <c r="P45" s="149">
        <f t="shared" si="19"/>
        <v>38.128456199999995</v>
      </c>
      <c r="Q45" s="67">
        <f>[1]!srLETt2E(P$6,P45,0,1)</f>
        <v>5.2352946570709653</v>
      </c>
      <c r="R45" s="60">
        <f>[1]!srE2Rng(P$6,Q45)</f>
        <v>53.859558034201228</v>
      </c>
      <c r="S45" s="78">
        <f t="shared" si="20"/>
        <v>-28.04955803420123</v>
      </c>
      <c r="T45" s="86">
        <f>[1]!srE2Rng(P$5,Q45)</f>
        <v>47.350804467724565</v>
      </c>
      <c r="U45" s="78">
        <f t="shared" si="11"/>
        <v>-24.560804467724566</v>
      </c>
      <c r="V45" s="61">
        <f>[1]!srE2LETe(P$6,Q45,0)</f>
        <v>38.091952179941451</v>
      </c>
      <c r="W45" s="29">
        <f>[1]!srE2LETn(P$6,Q45,0)</f>
        <v>3.6504020058542579E-2</v>
      </c>
      <c r="X45" s="52"/>
      <c r="Y45" s="149">
        <f t="shared" si="21"/>
        <v>64.488896999999994</v>
      </c>
      <c r="Z45" s="67">
        <f>[1]!srLETt2E(Y$6,Y45,0,1)</f>
        <v>7.0797486948726567</v>
      </c>
      <c r="AA45" s="60">
        <f>[1]!srE2Rng(Y$6,Z45)</f>
        <v>69.363297457453768</v>
      </c>
      <c r="AB45" s="78">
        <f t="shared" si="22"/>
        <v>-27.823297457453769</v>
      </c>
      <c r="AC45" s="86">
        <f>[1]!srE2Rng(Y$5,Z45)</f>
        <v>61.013630152895928</v>
      </c>
      <c r="AD45" s="78">
        <f t="shared" si="13"/>
        <v>-24.423630152895925</v>
      </c>
      <c r="AE45" s="61">
        <f>[1]!srE2LETe(Y$6,Z45,0)</f>
        <v>64.428644901379826</v>
      </c>
      <c r="AF45" s="29">
        <f>[1]!srE2LETn(Y$6,Z45,0)</f>
        <v>6.0252098620175387E-2</v>
      </c>
      <c r="AG45" s="52"/>
      <c r="AH45" s="149">
        <f t="shared" si="23"/>
        <v>87.760565999999997</v>
      </c>
      <c r="AI45" s="67">
        <f>[1]!srLETt2E(AH$6,AH45,0,1)</f>
        <v>8.8293961128739475</v>
      </c>
      <c r="AJ45" s="60">
        <f>[1]!srE2Rng(AH$6,AI45)</f>
        <v>95.828038884419456</v>
      </c>
      <c r="AK45" s="78">
        <f t="shared" si="24"/>
        <v>-44.178038884419458</v>
      </c>
      <c r="AL45" s="86">
        <f>[1]!srE2Rng(AH$5,AI45)</f>
        <v>84.37169267900245</v>
      </c>
      <c r="AM45" s="78">
        <f t="shared" si="15"/>
        <v>-38.80169267900245</v>
      </c>
      <c r="AN45" s="61">
        <f>[1]!srE2LETe(AH$6,AI45,0)</f>
        <v>87.659419795298106</v>
      </c>
      <c r="AO45" s="29">
        <f>[1]!srE2LETn(AH$6,AI45,0)</f>
        <v>0.10114620470188608</v>
      </c>
      <c r="AP45" s="52"/>
    </row>
    <row r="46" spans="2:42">
      <c r="B46" s="7"/>
      <c r="C46" s="7"/>
      <c r="D46" s="7"/>
      <c r="E46" s="7"/>
      <c r="F46" s="61">
        <f t="shared" si="25"/>
        <v>0.91999999999999993</v>
      </c>
      <c r="G46" s="149">
        <f t="shared" si="17"/>
        <v>17.173345599999998</v>
      </c>
      <c r="H46" s="67">
        <f>[1]!srLETt2E(G$6,G46,0,1)</f>
        <v>2.5224827568589414</v>
      </c>
      <c r="I46" s="61">
        <f>[1]!srE2Rng(G$6,H46)</f>
        <v>26.967525499412485</v>
      </c>
      <c r="J46" s="78">
        <f t="shared" si="18"/>
        <v>-13.267525499412486</v>
      </c>
      <c r="K46" s="86">
        <f>[1]!srE2Rng(G$5,H46)</f>
        <v>23.718747570633042</v>
      </c>
      <c r="L46" s="78">
        <f t="shared" si="16"/>
        <v>-11.558747570633042</v>
      </c>
      <c r="M46" s="61">
        <f>[1]!srE2LETe(G$6,H46,0)</f>
        <v>17.154926899300051</v>
      </c>
      <c r="N46" s="29">
        <f>[1]!srE2LETn(G$6,H46,0)</f>
        <v>1.8418700699943783E-2</v>
      </c>
      <c r="O46" s="52"/>
      <c r="P46" s="149">
        <f t="shared" si="19"/>
        <v>37.718472799999994</v>
      </c>
      <c r="Q46" s="67">
        <f>[1]!srLETt2E(P$6,P46,0,1)</f>
        <v>5.5170515574650958</v>
      </c>
      <c r="R46" s="60">
        <f>[1]!srE2Rng(P$6,Q46)</f>
        <v>56.552031578947414</v>
      </c>
      <c r="S46" s="78">
        <f t="shared" si="20"/>
        <v>-30.742031578947415</v>
      </c>
      <c r="T46" s="86">
        <f>[1]!srE2Rng(P$5,Q46)</f>
        <v>49.71397894736846</v>
      </c>
      <c r="U46" s="78">
        <f t="shared" si="11"/>
        <v>-26.923978947368461</v>
      </c>
      <c r="V46" s="61">
        <f>[1]!srE2LETe(P$6,Q46,0)</f>
        <v>37.6835909774436</v>
      </c>
      <c r="W46" s="29">
        <f>[1]!srE2LETn(P$6,Q46,0)</f>
        <v>3.4881822556390954E-2</v>
      </c>
      <c r="X46" s="52"/>
      <c r="Y46" s="149">
        <f t="shared" si="21"/>
        <v>63.795467999999993</v>
      </c>
      <c r="Z46" s="67">
        <f>[1]!srLETt2E(Y$6,Y46,0,1)</f>
        <v>7.426404055468141</v>
      </c>
      <c r="AA46" s="60">
        <f>[1]!srE2Rng(Y$6,Z46)</f>
        <v>72.429117466560228</v>
      </c>
      <c r="AB46" s="78">
        <f t="shared" si="22"/>
        <v>-30.889117466560229</v>
      </c>
      <c r="AC46" s="86">
        <f>[1]!srE2Rng(Y$5,Z46)</f>
        <v>63.708806250453705</v>
      </c>
      <c r="AD46" s="78">
        <f t="shared" si="13"/>
        <v>-27.118806250453702</v>
      </c>
      <c r="AE46" s="61">
        <f>[1]!srE2LETe(Y$6,Z46,0)</f>
        <v>63.737691436640901</v>
      </c>
      <c r="AF46" s="29">
        <f>[1]!srE2LETn(Y$6,Z46,0)</f>
        <v>5.777656335909092E-2</v>
      </c>
      <c r="AG46" s="52"/>
      <c r="AH46" s="149">
        <f t="shared" si="23"/>
        <v>86.816903999999994</v>
      </c>
      <c r="AI46" s="67">
        <f>[1]!srLETt2E(AH$6,AH46,0,1)</f>
        <v>9.3700194488582529</v>
      </c>
      <c r="AJ46" s="60">
        <f>[1]!srE2Rng(AH$6,AI46)</f>
        <v>101.10010218811129</v>
      </c>
      <c r="AK46" s="78">
        <f t="shared" si="24"/>
        <v>-49.450102188111295</v>
      </c>
      <c r="AL46" s="86">
        <f>[1]!srE2Rng(AH$5,AI46)</f>
        <v>89.007033891132082</v>
      </c>
      <c r="AM46" s="78">
        <f t="shared" si="15"/>
        <v>-43.437033891132081</v>
      </c>
      <c r="AN46" s="61">
        <f>[1]!srE2LETe(AH$6,AI46,0)</f>
        <v>86.720723666601842</v>
      </c>
      <c r="AO46" s="29">
        <f>[1]!srE2LETn(AH$6,AI46,0)</f>
        <v>9.618033339814927E-2</v>
      </c>
      <c r="AP46" s="52"/>
    </row>
    <row r="47" spans="2:42">
      <c r="B47" s="7"/>
      <c r="C47" s="7"/>
      <c r="D47" s="7"/>
      <c r="E47" s="7"/>
      <c r="F47" s="61">
        <f t="shared" si="25"/>
        <v>0.90999999999999992</v>
      </c>
      <c r="G47" s="149">
        <f t="shared" si="17"/>
        <v>16.986678799999996</v>
      </c>
      <c r="H47" s="67">
        <f>[1]!srLETt2E(G$6,G47,0,1)</f>
        <v>2.6416946814489379</v>
      </c>
      <c r="I47" s="61">
        <f>[1]!srE2Rng(G$6,H47)</f>
        <v>28.173950176263251</v>
      </c>
      <c r="J47" s="78">
        <f t="shared" si="18"/>
        <v>-14.473950176263251</v>
      </c>
      <c r="K47" s="86">
        <f>[1]!srE2Rng(G$5,H47)</f>
        <v>24.772580984008613</v>
      </c>
      <c r="L47" s="78">
        <f t="shared" si="16"/>
        <v>-12.612580984008613</v>
      </c>
      <c r="M47" s="61">
        <f>[1]!srE2LETe(G$6,H47,0)</f>
        <v>16.968956296939659</v>
      </c>
      <c r="N47" s="29">
        <f>[1]!srE2LETn(G$6,H47,0)</f>
        <v>1.7722503060338204E-2</v>
      </c>
      <c r="O47" s="52"/>
      <c r="P47" s="149">
        <f t="shared" si="19"/>
        <v>37.308489399999999</v>
      </c>
      <c r="Q47" s="67">
        <f>[1]!srLETt2E(P$6,P47,0,1)</f>
        <v>5.7933874326521995</v>
      </c>
      <c r="R47" s="60">
        <f>[1]!srE2Rng(P$6,Q47)</f>
        <v>59.21679369055169</v>
      </c>
      <c r="S47" s="78">
        <f t="shared" si="20"/>
        <v>-33.406793690551694</v>
      </c>
      <c r="T47" s="86">
        <f>[1]!srE2Rng(P$5,Q47)</f>
        <v>52.053770069752701</v>
      </c>
      <c r="U47" s="78">
        <f t="shared" si="11"/>
        <v>-29.263770069752702</v>
      </c>
      <c r="V47" s="61">
        <f>[1]!srE2LETe(P$6,Q47,0)</f>
        <v>37.275056019566989</v>
      </c>
      <c r="W47" s="29">
        <f>[1]!srE2LETn(P$6,Q47,0)</f>
        <v>3.343338043301023E-2</v>
      </c>
      <c r="X47" s="52"/>
      <c r="Y47" s="149">
        <f t="shared" si="21"/>
        <v>63.102038999999998</v>
      </c>
      <c r="Z47" s="67">
        <f>[1]!srLETt2E(Y$6,Y47,0,1)</f>
        <v>7.7718829820010553</v>
      </c>
      <c r="AA47" s="60">
        <f>[1]!srE2Rng(Y$6,Z47)</f>
        <v>75.528543633978373</v>
      </c>
      <c r="AB47" s="78">
        <f t="shared" si="22"/>
        <v>-33.988543633978374</v>
      </c>
      <c r="AC47" s="86">
        <f>[1]!srE2Rng(Y$5,Z47)</f>
        <v>66.433668638898013</v>
      </c>
      <c r="AD47" s="78">
        <f t="shared" si="13"/>
        <v>-29.843668638898009</v>
      </c>
      <c r="AE47" s="61">
        <f>[1]!srE2LETe(Y$6,Z47,0)</f>
        <v>63.046493984913084</v>
      </c>
      <c r="AF47" s="29">
        <f>[1]!srE2LETn(Y$6,Z47,0)</f>
        <v>5.5545015086913736E-2</v>
      </c>
      <c r="AG47" s="52"/>
      <c r="AH47" s="149">
        <f t="shared" si="23"/>
        <v>85.873242000000005</v>
      </c>
      <c r="AI47" s="67">
        <f>[1]!srLETt2E(AH$6,AH47,0,1)</f>
        <v>9.9179236931475625</v>
      </c>
      <c r="AJ47" s="60">
        <f>[1]!srE2Rng(AH$6,AI47)</f>
        <v>106.48616528074849</v>
      </c>
      <c r="AK47" s="78">
        <f t="shared" si="24"/>
        <v>-54.836165280748496</v>
      </c>
      <c r="AL47" s="86">
        <f>[1]!srE2Rng(AH$5,AI47)</f>
        <v>93.750871023825567</v>
      </c>
      <c r="AM47" s="78">
        <f t="shared" si="15"/>
        <v>-48.180871023825567</v>
      </c>
      <c r="AN47" s="61">
        <f>[1]!srE2LETe(AH$6,AI47,0)</f>
        <v>85.781670582314391</v>
      </c>
      <c r="AO47" s="29">
        <f>[1]!srE2LETn(AH$6,AI47,0)</f>
        <v>9.1571417685612028E-2</v>
      </c>
      <c r="AP47" s="52"/>
    </row>
    <row r="48" spans="2:42" s="108" customFormat="1">
      <c r="B48" s="7"/>
      <c r="C48" s="7"/>
      <c r="D48" s="7"/>
      <c r="E48" s="7"/>
      <c r="F48" s="141">
        <f t="shared" si="25"/>
        <v>0.89999999999999991</v>
      </c>
      <c r="G48" s="150">
        <f t="shared" si="17"/>
        <v>16.800011999999999</v>
      </c>
      <c r="H48" s="116">
        <f>[1]!srLETt2E(G$6,G48,0,1)</f>
        <v>2.7609127389837451</v>
      </c>
      <c r="I48" s="109">
        <f>[1]!srE2Rng(G$6,H48)</f>
        <v>29.383055975871599</v>
      </c>
      <c r="J48" s="113">
        <f t="shared" si="18"/>
        <v>-15.6830559758716</v>
      </c>
      <c r="K48" s="114">
        <f>[1]!srE2Rng(G$5,H48)</f>
        <v>25.829087669972406</v>
      </c>
      <c r="L48" s="113">
        <f t="shared" si="16"/>
        <v>-13.669087669972406</v>
      </c>
      <c r="M48" s="109">
        <f>[1]!srE2LETe(G$6,H48,0)</f>
        <v>16.782976127185357</v>
      </c>
      <c r="N48" s="117">
        <f>[1]!srE2LETn(G$6,H48,0)</f>
        <v>1.7035872814640626E-2</v>
      </c>
      <c r="O48" s="115"/>
      <c r="P48" s="150">
        <f t="shared" si="19"/>
        <v>36.898505999999998</v>
      </c>
      <c r="Q48" s="116">
        <f>[1]!srLETt2E(P$6,P48,0,1)</f>
        <v>6.0684783553906012</v>
      </c>
      <c r="R48" s="112">
        <f>[1]!srE2Rng(P$6,Q48)</f>
        <v>61.896856585890511</v>
      </c>
      <c r="S48" s="113">
        <f t="shared" si="20"/>
        <v>-36.086856585890516</v>
      </c>
      <c r="T48" s="114">
        <f>[1]!srE2Rng(P$5,Q48)</f>
        <v>54.408375603580602</v>
      </c>
      <c r="U48" s="113">
        <f t="shared" si="11"/>
        <v>-31.618375603580603</v>
      </c>
      <c r="V48" s="109">
        <f>[1]!srE2LETe(P$6,Q48,0)</f>
        <v>36.866411163019976</v>
      </c>
      <c r="W48" s="117">
        <f>[1]!srE2LETn(P$6,Q48,0)</f>
        <v>3.2094836980024417E-2</v>
      </c>
      <c r="X48" s="115"/>
      <c r="Y48" s="150">
        <f t="shared" si="21"/>
        <v>62.408609999999996</v>
      </c>
      <c r="Z48" s="116">
        <f>[1]!srLETt2E(Y$6,Y48,0,1)</f>
        <v>8.1164713716370045</v>
      </c>
      <c r="AA48" s="112">
        <f>[1]!srE2Rng(Y$6,Z48)</f>
        <v>78.653408986553004</v>
      </c>
      <c r="AB48" s="113">
        <f t="shared" si="22"/>
        <v>-37.113408986553004</v>
      </c>
      <c r="AC48" s="114">
        <f>[1]!srE2Rng(Y$5,Z48)</f>
        <v>69.181002951787505</v>
      </c>
      <c r="AD48" s="113">
        <f t="shared" si="13"/>
        <v>-32.591002951787502</v>
      </c>
      <c r="AE48" s="109">
        <f>[1]!srE2LETe(Y$6,Z48,0)</f>
        <v>62.355111839947519</v>
      </c>
      <c r="AF48" s="117">
        <f>[1]!srE2LETn(Y$6,Z48,0)</f>
        <v>5.34981600524762E-2</v>
      </c>
      <c r="AG48" s="115"/>
      <c r="AH48" s="150">
        <f t="shared" si="23"/>
        <v>84.929580000000001</v>
      </c>
      <c r="AI48" s="116">
        <f>[1]!srLETt2E(AH$6,AH48,0,1)</f>
        <v>10.47727647165706</v>
      </c>
      <c r="AJ48" s="112">
        <f>[1]!srE2Rng(AH$6,AI48)</f>
        <v>112.05775764933514</v>
      </c>
      <c r="AK48" s="113">
        <f t="shared" si="24"/>
        <v>-60.407757649335146</v>
      </c>
      <c r="AL48" s="114">
        <f>[1]!srE2Rng(AH$5,AI48)</f>
        <v>98.655934044046518</v>
      </c>
      <c r="AM48" s="113">
        <f t="shared" si="15"/>
        <v>-53.085934044046517</v>
      </c>
      <c r="AN48" s="109">
        <f>[1]!srE2LETe(AH$6,AI48,0)</f>
        <v>84.842202894701899</v>
      </c>
      <c r="AO48" s="117">
        <f>[1]!srE2LETn(AH$6,AI48,0)</f>
        <v>8.7377105298101179E-2</v>
      </c>
      <c r="AP48" s="115"/>
    </row>
    <row r="49" spans="2:42">
      <c r="B49" s="7"/>
      <c r="C49" s="7"/>
      <c r="D49" s="7"/>
      <c r="E49" s="7"/>
      <c r="F49" s="61">
        <f>F48-0.02</f>
        <v>0.87999999999999989</v>
      </c>
      <c r="G49" s="149">
        <f t="shared" si="17"/>
        <v>16.426678399999997</v>
      </c>
      <c r="H49" s="67">
        <f>[1]!srLETt2E(G$6,G49,0,1)</f>
        <v>2.9994706573969965</v>
      </c>
      <c r="I49" s="61">
        <f>[1]!srE2Rng(G$6,H49)</f>
        <v>31.854516010632882</v>
      </c>
      <c r="J49" s="78">
        <f t="shared" si="18"/>
        <v>-18.154516010632882</v>
      </c>
      <c r="K49" s="86">
        <f>[1]!srE2Rng(G$5,H49)</f>
        <v>27.995193569164726</v>
      </c>
      <c r="L49" s="78">
        <f t="shared" si="16"/>
        <v>-15.835193569164726</v>
      </c>
      <c r="M49" s="61">
        <f>[1]!srE2LETe(G$6,H49,0)</f>
        <v>16.410825774460687</v>
      </c>
      <c r="N49" s="29">
        <f>[1]!srE2LETn(G$6,H49,0)</f>
        <v>1.5852625539310897E-2</v>
      </c>
      <c r="O49" s="52"/>
      <c r="P49" s="149">
        <f t="shared" si="19"/>
        <v>36.078539199999994</v>
      </c>
      <c r="Q49" s="67">
        <f>[1]!srLETt2E(P$6,P49,0,1)</f>
        <v>6.6153168314030921</v>
      </c>
      <c r="R49" s="60">
        <f>[1]!srE2Rng(P$6,Q49)</f>
        <v>67.315805628845879</v>
      </c>
      <c r="S49" s="78">
        <f t="shared" si="20"/>
        <v>-41.505805628845877</v>
      </c>
      <c r="T49" s="86">
        <f>[1]!srE2Rng(P$5,Q49)</f>
        <v>59.17278106681313</v>
      </c>
      <c r="U49" s="78">
        <f t="shared" si="11"/>
        <v>-36.382781066813131</v>
      </c>
      <c r="V49" s="61">
        <f>[1]!srE2LETe(P$6,Q49,0)</f>
        <v>36.048778273686096</v>
      </c>
      <c r="W49" s="29">
        <f>[1]!srE2LETn(P$6,Q49,0)</f>
        <v>2.9760926313901741E-2</v>
      </c>
      <c r="X49" s="52"/>
      <c r="Y49" s="149">
        <f t="shared" si="21"/>
        <v>61.021751999999992</v>
      </c>
      <c r="Z49" s="67">
        <f>[1]!srLETt2E(Y$6,Y49,0,1)</f>
        <v>8.8121496249904325</v>
      </c>
      <c r="AA49" s="60">
        <f>[1]!srE2Rng(Y$6,Z49)</f>
        <v>85.069544035111079</v>
      </c>
      <c r="AB49" s="78">
        <f t="shared" si="22"/>
        <v>-43.52954403511108</v>
      </c>
      <c r="AC49" s="86">
        <f>[1]!srE2Rng(Y$5,Z49)</f>
        <v>74.822312155871813</v>
      </c>
      <c r="AD49" s="78">
        <f t="shared" si="13"/>
        <v>-38.23231215587181</v>
      </c>
      <c r="AE49" s="61">
        <f>[1]!srE2LETe(Y$6,Z49,0)</f>
        <v>60.971943742518945</v>
      </c>
      <c r="AF49" s="29">
        <f>[1]!srE2LETn(Y$6,Z49,0)</f>
        <v>4.9808257481047995E-2</v>
      </c>
      <c r="AG49" s="52"/>
      <c r="AH49" s="149">
        <f t="shared" si="23"/>
        <v>83.042255999999995</v>
      </c>
      <c r="AI49" s="67">
        <f>[1]!srLETt2E(AH$6,AH49,0,1)</f>
        <v>11.622805514485993</v>
      </c>
      <c r="AJ49" s="60">
        <f>[1]!srE2Rng(AH$6,AI49)</f>
        <v>123.62672135002771</v>
      </c>
      <c r="AK49" s="78">
        <f t="shared" si="24"/>
        <v>-71.976721350027702</v>
      </c>
      <c r="AL49" s="86">
        <f>[1]!srE2Rng(AH$5,AI49)</f>
        <v>108.83903898718037</v>
      </c>
      <c r="AM49" s="78">
        <f t="shared" si="15"/>
        <v>-63.269038987180373</v>
      </c>
      <c r="AN49" s="61">
        <f>[1]!srE2LETe(AH$6,AI49,0)</f>
        <v>82.962458509170077</v>
      </c>
      <c r="AO49" s="29">
        <f>[1]!srE2LETn(AH$6,AI49,0)</f>
        <v>7.9797490829916218E-2</v>
      </c>
      <c r="AP49" s="52"/>
    </row>
    <row r="50" spans="2:42">
      <c r="B50" s="7"/>
      <c r="C50" s="7"/>
      <c r="D50" s="7"/>
      <c r="E50" s="7"/>
      <c r="F50" s="61">
        <f t="shared" ref="F50:F63" si="26">F49-0.02</f>
        <v>0.85999999999999988</v>
      </c>
      <c r="G50" s="149">
        <f t="shared" si="17"/>
        <v>16.053344799999998</v>
      </c>
      <c r="H50" s="67">
        <f>[1]!srLETt2E(G$6,G50,0,1)</f>
        <v>3.2443874980318093</v>
      </c>
      <c r="I50" s="61">
        <f>[1]!srE2Rng(G$6,H50)</f>
        <v>34.460282979058455</v>
      </c>
      <c r="J50" s="78">
        <f t="shared" si="18"/>
        <v>-20.760282979058456</v>
      </c>
      <c r="K50" s="86">
        <f>[1]!srE2Rng(G$5,H50)</f>
        <v>30.267915981735189</v>
      </c>
      <c r="L50" s="78">
        <f t="shared" si="16"/>
        <v>-18.107915981735189</v>
      </c>
      <c r="M50" s="61">
        <f>[1]!srE2LETe(G$6,H50,0)</f>
        <v>16.03853100299165</v>
      </c>
      <c r="N50" s="29">
        <f>[1]!srE2LETn(G$6,H50,0)</f>
        <v>1.4813797008345128E-2</v>
      </c>
      <c r="O50" s="52"/>
      <c r="P50" s="149">
        <f t="shared" si="19"/>
        <v>35.258572399999991</v>
      </c>
      <c r="Q50" s="67">
        <f>[1]!srLETt2E(P$6,P50,0,1)</f>
        <v>7.1625982478989734</v>
      </c>
      <c r="R50" s="60">
        <f>[1]!srE2Rng(P$6,Q50)</f>
        <v>72.864960048986291</v>
      </c>
      <c r="S50" s="78">
        <f t="shared" si="20"/>
        <v>-47.054960048986288</v>
      </c>
      <c r="T50" s="86">
        <f>[1]!srE2Rng(P$5,Q50)</f>
        <v>64.050086256633591</v>
      </c>
      <c r="U50" s="78">
        <f t="shared" si="11"/>
        <v>-41.260086256633592</v>
      </c>
      <c r="V50" s="61">
        <f>[1]!srE2LETe(P$6,Q50,0)</f>
        <v>35.230814750306159</v>
      </c>
      <c r="W50" s="29">
        <f>[1]!srE2LETn(P$6,Q50,0)</f>
        <v>2.7757649693835883E-2</v>
      </c>
      <c r="X50" s="52"/>
      <c r="Y50" s="149">
        <f t="shared" si="21"/>
        <v>59.634893999999989</v>
      </c>
      <c r="Z50" s="67">
        <f>[1]!srLETt2E(Y$6,Y50,0,1)</f>
        <v>9.5224495078928761</v>
      </c>
      <c r="AA50" s="60">
        <f>[1]!srE2Rng(Y$6,Z50)</f>
        <v>91.767056456518077</v>
      </c>
      <c r="AB50" s="78">
        <f t="shared" si="22"/>
        <v>-50.227056456518078</v>
      </c>
      <c r="AC50" s="86">
        <f>[1]!srE2Rng(Y$5,Z50)</f>
        <v>80.717171775158093</v>
      </c>
      <c r="AD50" s="78">
        <f t="shared" si="13"/>
        <v>-44.127171775158089</v>
      </c>
      <c r="AE50" s="61">
        <f>[1]!srE2LETe(Y$6,Z50,0)</f>
        <v>59.588335308388849</v>
      </c>
      <c r="AF50" s="29">
        <f>[1]!srE2LETn(Y$6,Z50,0)</f>
        <v>4.6558691611139562E-2</v>
      </c>
      <c r="AG50" s="52"/>
      <c r="AH50" s="149">
        <f t="shared" si="23"/>
        <v>81.154931999999988</v>
      </c>
      <c r="AI50" s="67">
        <f>[1]!srLETt2E(AH$6,AH50,0,1)</f>
        <v>12.822806132025084</v>
      </c>
      <c r="AJ50" s="60">
        <f>[1]!srE2Rng(AH$6,AI50)</f>
        <v>136.02857450927928</v>
      </c>
      <c r="AK50" s="78">
        <f t="shared" si="24"/>
        <v>-84.378574509279275</v>
      </c>
      <c r="AL50" s="86">
        <f>[1]!srE2Rng(AH$5,AI50)</f>
        <v>119.7626242503424</v>
      </c>
      <c r="AM50" s="78">
        <f t="shared" si="15"/>
        <v>-74.192624250342391</v>
      </c>
      <c r="AN50" s="61">
        <f>[1]!srE2LETe(AH$6,AI50,0)</f>
        <v>81.08169465913204</v>
      </c>
      <c r="AO50" s="29">
        <f>[1]!srE2LETn(AH$6,AI50,0)</f>
        <v>7.3237340867950043E-2</v>
      </c>
      <c r="AP50" s="52"/>
    </row>
    <row r="51" spans="2:42">
      <c r="B51" s="7"/>
      <c r="C51" s="7"/>
      <c r="D51" s="7"/>
      <c r="E51" s="7"/>
      <c r="F51" s="61">
        <f t="shared" si="26"/>
        <v>0.83999999999999986</v>
      </c>
      <c r="G51" s="149">
        <f t="shared" si="17"/>
        <v>15.680011199999997</v>
      </c>
      <c r="H51" s="67">
        <f>[1]!srLETt2E(G$6,G51,0,1)</f>
        <v>3.4958608325245359</v>
      </c>
      <c r="I51" s="61">
        <f>[1]!srE2Rng(G$6,H51)</f>
        <v>37.185131424565967</v>
      </c>
      <c r="J51" s="78">
        <f t="shared" si="18"/>
        <v>-23.485131424565967</v>
      </c>
      <c r="K51" s="86">
        <f>[1]!srE2Rng(G$5,H51)</f>
        <v>32.650760692332597</v>
      </c>
      <c r="L51" s="78">
        <f t="shared" si="16"/>
        <v>-20.490760692332596</v>
      </c>
      <c r="M51" s="61">
        <f>[1]!srE2LETe(G$6,H51,0)</f>
        <v>15.666125967863687</v>
      </c>
      <c r="N51" s="29">
        <f>[1]!srE2LETn(G$6,H51,0)</f>
        <v>1.3885232136309707E-2</v>
      </c>
      <c r="O51" s="52"/>
      <c r="P51" s="149">
        <f t="shared" si="19"/>
        <v>34.438605599999995</v>
      </c>
      <c r="Q51" s="67">
        <f>[1]!srLETt2E(P$6,P51,0,1)</f>
        <v>7.7160471028344242</v>
      </c>
      <c r="R51" s="60">
        <f>[1]!srE2Rng(P$6,Q51)</f>
        <v>78.611087440468125</v>
      </c>
      <c r="S51" s="78">
        <f t="shared" si="20"/>
        <v>-52.801087440468123</v>
      </c>
      <c r="T51" s="86">
        <f>[1]!srE2Rng(P$5,Q51)</f>
        <v>69.098868090896744</v>
      </c>
      <c r="U51" s="78">
        <f t="shared" si="11"/>
        <v>-46.308868090896745</v>
      </c>
      <c r="V51" s="61">
        <f>[1]!srE2LETe(P$6,Q51,0)</f>
        <v>34.412595963169586</v>
      </c>
      <c r="W51" s="29">
        <f>[1]!srE2LETn(P$6,Q51,0)</f>
        <v>2.6009636830407756E-2</v>
      </c>
      <c r="X51" s="52"/>
      <c r="Y51" s="149">
        <f t="shared" si="21"/>
        <v>58.248035999999992</v>
      </c>
      <c r="Z51" s="67">
        <f>[1]!srLETt2E(Y$6,Y51,0,1)</f>
        <v>10.254463478524409</v>
      </c>
      <c r="AA51" s="60">
        <f>[1]!srE2Rng(Y$6,Z51)</f>
        <v>98.835599258226438</v>
      </c>
      <c r="AB51" s="78">
        <f t="shared" si="22"/>
        <v>-57.295599258226439</v>
      </c>
      <c r="AC51" s="86">
        <f>[1]!srE2Rng(Y$5,Z51)</f>
        <v>86.938655563655956</v>
      </c>
      <c r="AD51" s="78">
        <f t="shared" si="13"/>
        <v>-50.348655563655953</v>
      </c>
      <c r="AE51" s="61">
        <f>[1]!srE2LETe(Y$6,Z51,0)</f>
        <v>58.20439257377037</v>
      </c>
      <c r="AF51" s="29">
        <f>[1]!srE2LETn(Y$6,Z51,0)</f>
        <v>4.3643426229624215E-2</v>
      </c>
      <c r="AG51" s="52"/>
      <c r="AH51" s="149">
        <f t="shared" si="23"/>
        <v>79.267607999999996</v>
      </c>
      <c r="AI51" s="67">
        <f>[1]!srLETt2E(AH$6,AH51,0,1)</f>
        <v>14.08620723403126</v>
      </c>
      <c r="AJ51" s="60">
        <f>[1]!srE2Rng(AH$6,AI51)</f>
        <v>149.4010574417162</v>
      </c>
      <c r="AK51" s="78">
        <f t="shared" si="24"/>
        <v>-97.751057441716199</v>
      </c>
      <c r="AL51" s="86">
        <f>[1]!srE2Rng(AH$5,AI51)</f>
        <v>131.54717010903292</v>
      </c>
      <c r="AM51" s="78">
        <f t="shared" si="15"/>
        <v>-85.977170109032926</v>
      </c>
      <c r="AN51" s="61">
        <f>[1]!srE2LETe(AH$6,AI51,0)</f>
        <v>79.200123659250053</v>
      </c>
      <c r="AO51" s="29">
        <f>[1]!srE2LETn(AH$6,AI51,0)</f>
        <v>6.7484340749933508E-2</v>
      </c>
      <c r="AP51" s="52"/>
    </row>
    <row r="52" spans="2:42">
      <c r="B52" s="7"/>
      <c r="C52" s="7"/>
      <c r="D52" s="7"/>
      <c r="E52" s="7"/>
      <c r="F52" s="61">
        <f t="shared" si="26"/>
        <v>0.81999999999999984</v>
      </c>
      <c r="G52" s="149">
        <f t="shared" si="17"/>
        <v>15.306677599999997</v>
      </c>
      <c r="H52" s="67">
        <f>[1]!srLETt2E(G$6,G52,0,1)</f>
        <v>3.7620207801356016</v>
      </c>
      <c r="I52" s="61">
        <f>[1]!srE2Rng(G$6,H52)</f>
        <v>40.14655606234043</v>
      </c>
      <c r="J52" s="78">
        <f t="shared" si="18"/>
        <v>-26.446556062340431</v>
      </c>
      <c r="K52" s="86">
        <f>[1]!srE2Rng(G$5,H52)</f>
        <v>35.249726970150597</v>
      </c>
      <c r="L52" s="78">
        <f t="shared" si="16"/>
        <v>-23.089726970150597</v>
      </c>
      <c r="M52" s="61">
        <f>[1]!srE2LETe(G$6,H52,0)</f>
        <v>15.293651739015582</v>
      </c>
      <c r="N52" s="29">
        <f>[1]!srE2LETn(G$6,H52,0)</f>
        <v>1.3025860984414892E-2</v>
      </c>
      <c r="O52" s="52"/>
      <c r="P52" s="149">
        <f t="shared" si="19"/>
        <v>33.618638799999992</v>
      </c>
      <c r="Q52" s="67">
        <f>[1]!srLETt2E(P$6,P52,0,1)</f>
        <v>8.2819912324624472</v>
      </c>
      <c r="R52" s="60">
        <f>[1]!srE2Rng(P$6,Q52)</f>
        <v>84.642282467909382</v>
      </c>
      <c r="S52" s="78">
        <f t="shared" si="20"/>
        <v>-58.83228246790938</v>
      </c>
      <c r="T52" s="86">
        <f>[1]!srE2Rng(P$5,Q52)</f>
        <v>74.398698609595954</v>
      </c>
      <c r="U52" s="78">
        <f t="shared" si="11"/>
        <v>-51.608698609595955</v>
      </c>
      <c r="V52" s="61">
        <f>[1]!srE2LETe(P$6,Q52,0)</f>
        <v>33.59417906733826</v>
      </c>
      <c r="W52" s="29">
        <f>[1]!srE2LETn(P$6,Q52,0)</f>
        <v>2.4459732661730207E-2</v>
      </c>
      <c r="X52" s="52"/>
      <c r="Y52" s="149">
        <f t="shared" si="21"/>
        <v>56.861177999999988</v>
      </c>
      <c r="Z52" s="67">
        <f>[1]!srLETt2E(Y$6,Y52,0,1)</f>
        <v>11.009641762882275</v>
      </c>
      <c r="AA52" s="60">
        <f>[1]!srE2Rng(Y$6,Z52)</f>
        <v>106.30274435142485</v>
      </c>
      <c r="AB52" s="78">
        <f t="shared" si="22"/>
        <v>-64.762744351424857</v>
      </c>
      <c r="AC52" s="86">
        <f>[1]!srE2Rng(Y$5,Z52)</f>
        <v>93.507962665850656</v>
      </c>
      <c r="AD52" s="78">
        <f t="shared" si="13"/>
        <v>-56.917962665850652</v>
      </c>
      <c r="AE52" s="61">
        <f>[1]!srE2LETe(Y$6,Z52,0)</f>
        <v>56.820163836003694</v>
      </c>
      <c r="AF52" s="29">
        <f>[1]!srE2LETn(Y$6,Z52,0)</f>
        <v>4.1014163996298626E-2</v>
      </c>
      <c r="AG52" s="52"/>
      <c r="AH52" s="149">
        <f t="shared" si="23"/>
        <v>77.380283999999989</v>
      </c>
      <c r="AI52" s="67">
        <f>[1]!srLETt2E(AH$6,AH52,0,1)</f>
        <v>15.419580943622595</v>
      </c>
      <c r="AJ52" s="60">
        <f>[1]!srE2Rng(AH$6,AI52)</f>
        <v>163.8633358635517</v>
      </c>
      <c r="AK52" s="78">
        <f t="shared" si="24"/>
        <v>-112.21333586355169</v>
      </c>
      <c r="AL52" s="86">
        <f>[1]!srE2Rng(AH$5,AI52)</f>
        <v>144.28329042281786</v>
      </c>
      <c r="AM52" s="78">
        <f t="shared" si="15"/>
        <v>-98.713290422817863</v>
      </c>
      <c r="AN52" s="61">
        <f>[1]!srE2LETe(AH$6,AI52,0)</f>
        <v>77.317904176580186</v>
      </c>
      <c r="AO52" s="29">
        <f>[1]!srE2LETn(AH$6,AI52,0)</f>
        <v>6.2379823419807939E-2</v>
      </c>
      <c r="AP52" s="52"/>
    </row>
    <row r="53" spans="2:42" s="108" customFormat="1">
      <c r="B53" s="7"/>
      <c r="C53" s="7"/>
      <c r="D53" s="7"/>
      <c r="E53" s="7"/>
      <c r="F53" s="141">
        <f t="shared" si="26"/>
        <v>0.79999999999999982</v>
      </c>
      <c r="G53" s="150">
        <f t="shared" si="17"/>
        <v>14.933343999999996</v>
      </c>
      <c r="H53" s="116">
        <f>[1]!srLETt2E(G$6,G53,0,1)</f>
        <v>4.0370538954754442</v>
      </c>
      <c r="I53" s="109">
        <f>[1]!srE2Rng(G$6,H53)</f>
        <v>43.28130734333417</v>
      </c>
      <c r="J53" s="113">
        <f t="shared" si="18"/>
        <v>-29.581307343334171</v>
      </c>
      <c r="K53" s="114">
        <f>[1]!srE2Rng(G$5,H53)</f>
        <v>37.997949733849531</v>
      </c>
      <c r="L53" s="113">
        <f t="shared" si="16"/>
        <v>-25.837949733849531</v>
      </c>
      <c r="M53" s="109">
        <f>[1]!srE2LETe(G$6,H53,0)</f>
        <v>14.921088857972414</v>
      </c>
      <c r="N53" s="117">
        <f>[1]!srE2LETn(G$6,H53,0)</f>
        <v>1.2255142027582863E-2</v>
      </c>
      <c r="O53" s="115"/>
      <c r="P53" s="150">
        <f t="shared" si="19"/>
        <v>32.798671999999989</v>
      </c>
      <c r="Q53" s="116">
        <f>[1]!srLETt2E(P$6,P53,0,1)</f>
        <v>8.8737162383886137</v>
      </c>
      <c r="R53" s="112">
        <f>[1]!srE2Rng(P$6,Q53)</f>
        <v>91.168148002045555</v>
      </c>
      <c r="S53" s="113">
        <f t="shared" si="20"/>
        <v>-65.358148002045553</v>
      </c>
      <c r="T53" s="114">
        <f>[1]!srE2Rng(P$5,Q53)</f>
        <v>80.140951810456187</v>
      </c>
      <c r="U53" s="113">
        <f t="shared" si="11"/>
        <v>-57.350951810456188</v>
      </c>
      <c r="V53" s="109">
        <f>[1]!srE2LETe(P$6,Q53,0)</f>
        <v>32.77556850999585</v>
      </c>
      <c r="W53" s="117">
        <f>[1]!srE2LETn(P$6,Q53,0)</f>
        <v>2.3103490004139554E-2</v>
      </c>
      <c r="X53" s="115"/>
      <c r="Y53" s="150">
        <f t="shared" si="21"/>
        <v>55.474319999999985</v>
      </c>
      <c r="Z53" s="116">
        <f>[1]!srLETt2E(Y$6,Y53,0,1)</f>
        <v>11.794064144905112</v>
      </c>
      <c r="AA53" s="112">
        <f>[1]!srE2Rng(Y$6,Z53)</f>
        <v>114.24327620237931</v>
      </c>
      <c r="AB53" s="113">
        <f t="shared" si="22"/>
        <v>-72.7032762023793</v>
      </c>
      <c r="AC53" s="114">
        <f>[1]!srE2Rng(Y$5,Z53)</f>
        <v>100.50056470480654</v>
      </c>
      <c r="AD53" s="113">
        <f t="shared" si="13"/>
        <v>-63.910564704806532</v>
      </c>
      <c r="AE53" s="109">
        <f>[1]!srE2LETe(Y$6,Z53,0)</f>
        <v>55.435704280630077</v>
      </c>
      <c r="AF53" s="117">
        <f>[1]!srE2LETn(Y$6,Z53,0)</f>
        <v>3.8615719369908298E-2</v>
      </c>
      <c r="AG53" s="115"/>
      <c r="AH53" s="150">
        <f t="shared" si="23"/>
        <v>75.492959999999982</v>
      </c>
      <c r="AI53" s="116">
        <f>[1]!srLETt2E(AH$6,AH53,0,1)</f>
        <v>16.807007162507993</v>
      </c>
      <c r="AJ53" s="112">
        <f>[1]!srE2Rng(AH$6,AI53)</f>
        <v>179.28027559220786</v>
      </c>
      <c r="AK53" s="113">
        <f t="shared" si="24"/>
        <v>-127.63027559220785</v>
      </c>
      <c r="AL53" s="114">
        <f>[1]!srE2Rng(AH$5,AI53)</f>
        <v>157.8780480137527</v>
      </c>
      <c r="AM53" s="113">
        <f t="shared" si="15"/>
        <v>-112.30804801375271</v>
      </c>
      <c r="AN53" s="109">
        <f>[1]!srE2LETe(AH$6,AI53,0)</f>
        <v>75.435090070866551</v>
      </c>
      <c r="AO53" s="117">
        <f>[1]!srE2LETn(AH$6,AI53,0)</f>
        <v>5.7869929133432266E-2</v>
      </c>
      <c r="AP53" s="115"/>
    </row>
    <row r="54" spans="2:42">
      <c r="B54" s="7"/>
      <c r="C54" s="7"/>
      <c r="D54" s="7"/>
      <c r="E54" s="7"/>
      <c r="F54" s="61">
        <f t="shared" si="26"/>
        <v>0.7799999999999998</v>
      </c>
      <c r="G54" s="149">
        <f t="shared" si="17"/>
        <v>14.560010399999996</v>
      </c>
      <c r="H54" s="67">
        <f>[1]!srLETt2E(G$6,G54,0,1)</f>
        <v>4.3238155649290055</v>
      </c>
      <c r="I54" s="61">
        <f>[1]!srE2Rng(G$6,H54)</f>
        <v>46.636928911356584</v>
      </c>
      <c r="J54" s="78">
        <f t="shared" si="18"/>
        <v>-32.936928911356588</v>
      </c>
      <c r="K54" s="86">
        <f>[1]!srE2Rng(G$5,H54)</f>
        <v>40.93768187526166</v>
      </c>
      <c r="L54" s="78">
        <f t="shared" si="16"/>
        <v>-28.77768187526166</v>
      </c>
      <c r="M54" s="61">
        <f>[1]!srE2LETe(G$6,H54,0)</f>
        <v>14.548468699488033</v>
      </c>
      <c r="N54" s="29">
        <f>[1]!srE2LETn(G$6,H54,0)</f>
        <v>1.1541700511961867E-2</v>
      </c>
      <c r="O54" s="52"/>
      <c r="P54" s="149">
        <f t="shared" si="19"/>
        <v>31.97870519999999</v>
      </c>
      <c r="Q54" s="67">
        <f>[1]!srLETt2E(P$6,P54,0,1)</f>
        <v>9.4679591538565973</v>
      </c>
      <c r="R54" s="60">
        <f>[1]!srE2Rng(P$6,Q54)</f>
        <v>97.742138527284766</v>
      </c>
      <c r="S54" s="78">
        <f t="shared" si="20"/>
        <v>-71.932138527284764</v>
      </c>
      <c r="T54" s="86">
        <f>[1]!srE2Rng(P$5,Q54)</f>
        <v>85.926263138286288</v>
      </c>
      <c r="U54" s="78">
        <f t="shared" si="11"/>
        <v>-63.136263138286289</v>
      </c>
      <c r="V54" s="61">
        <f>[1]!srE2LETe(P$6,Q54,0)</f>
        <v>31.95693946964715</v>
      </c>
      <c r="W54" s="29">
        <f>[1]!srE2LETn(P$6,Q54,0)</f>
        <v>2.1765730352838027E-2</v>
      </c>
      <c r="X54" s="52"/>
      <c r="Y54" s="149">
        <f t="shared" si="21"/>
        <v>54.087461999999988</v>
      </c>
      <c r="Z54" s="67">
        <f>[1]!srLETt2E(Y$6,Y54,0,1)</f>
        <v>12.617537581673249</v>
      </c>
      <c r="AA54" s="60">
        <f>[1]!srE2Rng(Y$6,Z54)</f>
        <v>122.79188788600099</v>
      </c>
      <c r="AB54" s="78">
        <f t="shared" si="22"/>
        <v>-81.251887886000986</v>
      </c>
      <c r="AC54" s="86">
        <f>[1]!srE2Rng(Y$5,Z54)</f>
        <v>108.02949575858273</v>
      </c>
      <c r="AD54" s="78">
        <f t="shared" si="13"/>
        <v>-71.439495758582723</v>
      </c>
      <c r="AE54" s="61">
        <f>[1]!srE2LETe(Y$6,Z54,0)</f>
        <v>54.051062990239139</v>
      </c>
      <c r="AF54" s="29">
        <f>[1]!srE2LETn(Y$6,Z54,0)</f>
        <v>3.6399009760851142E-2</v>
      </c>
      <c r="AG54" s="52"/>
      <c r="AH54" s="149">
        <f t="shared" si="23"/>
        <v>73.60563599999999</v>
      </c>
      <c r="AI54" s="67">
        <f>[1]!srLETt2E(AH$6,AH54,0,1)</f>
        <v>18.261644962304253</v>
      </c>
      <c r="AJ54" s="60">
        <f>[1]!srE2Rng(AH$6,AI54)</f>
        <v>195.85388529843866</v>
      </c>
      <c r="AK54" s="78">
        <f t="shared" si="24"/>
        <v>-144.20388529843865</v>
      </c>
      <c r="AL54" s="86">
        <f>[1]!srE2Rng(AH$5,AI54)</f>
        <v>172.49497865772403</v>
      </c>
      <c r="AM54" s="78">
        <f t="shared" si="15"/>
        <v>-126.92497865772404</v>
      </c>
      <c r="AN54" s="61">
        <f>[1]!srE2LETe(AH$6,AI54,0)</f>
        <v>73.551816269223849</v>
      </c>
      <c r="AO54" s="29">
        <f>[1]!srE2LETn(AH$6,AI54,0)</f>
        <v>5.3819730776144728E-2</v>
      </c>
      <c r="AP54" s="52"/>
    </row>
    <row r="55" spans="2:42">
      <c r="B55" s="7"/>
      <c r="C55" s="7"/>
      <c r="D55" s="7"/>
      <c r="E55" s="7"/>
      <c r="F55" s="61">
        <f t="shared" si="26"/>
        <v>0.75999999999999979</v>
      </c>
      <c r="G55" s="149">
        <f t="shared" si="17"/>
        <v>14.186676799999995</v>
      </c>
      <c r="H55" s="67">
        <f>[1]!srLETt2E(G$6,G55,0,1)</f>
        <v>4.630683948695391</v>
      </c>
      <c r="I55" s="61">
        <f>[1]!srE2Rng(G$6,H55)</f>
        <v>50.334798889979396</v>
      </c>
      <c r="J55" s="78">
        <f t="shared" si="18"/>
        <v>-36.634798889979393</v>
      </c>
      <c r="K55" s="86">
        <f>[1]!srE2Rng(G$5,H55)</f>
        <v>44.178772966936315</v>
      </c>
      <c r="L55" s="78">
        <f t="shared" si="16"/>
        <v>-32.018772966936311</v>
      </c>
      <c r="M55" s="61">
        <f>[1]!srE2LETe(G$6,H55,0)</f>
        <v>14.175792940539438</v>
      </c>
      <c r="N55" s="29">
        <f>[1]!srE2LETn(G$6,H55,0)</f>
        <v>1.0883859460557034E-2</v>
      </c>
      <c r="O55" s="52"/>
      <c r="P55" s="149">
        <f t="shared" si="19"/>
        <v>31.15873839999999</v>
      </c>
      <c r="Q55" s="67">
        <f>[1]!srLETt2E(P$6,P55,0,1)</f>
        <v>10.097306353951391</v>
      </c>
      <c r="R55" s="60">
        <f>[1]!srE2Rng(P$6,Q55)</f>
        <v>105.03206212187048</v>
      </c>
      <c r="S55" s="78">
        <f t="shared" si="20"/>
        <v>-79.222062121870479</v>
      </c>
      <c r="T55" s="86">
        <f>[1]!srE2Rng(P$5,Q55)</f>
        <v>92.337560768547476</v>
      </c>
      <c r="U55" s="78">
        <f t="shared" si="11"/>
        <v>-69.54756076854747</v>
      </c>
      <c r="V55" s="61">
        <f>[1]!srE2LETe(P$6,Q55,0)</f>
        <v>31.13812450052848</v>
      </c>
      <c r="W55" s="29">
        <f>[1]!srE2LETn(P$6,Q55,0)</f>
        <v>2.0613899471510169E-2</v>
      </c>
      <c r="X55" s="52"/>
      <c r="Y55" s="149">
        <f t="shared" si="21"/>
        <v>52.700603999999984</v>
      </c>
      <c r="Z55" s="67">
        <f>[1]!srLETt2E(Y$6,Y55,0,1)</f>
        <v>13.475924501878708</v>
      </c>
      <c r="AA55" s="60">
        <f>[1]!srE2Rng(Y$6,Z55)</f>
        <v>131.93034918093676</v>
      </c>
      <c r="AB55" s="78">
        <f t="shared" si="22"/>
        <v>-90.390349180936767</v>
      </c>
      <c r="AC55" s="86">
        <f>[1]!srE2Rng(Y$5,Z55)</f>
        <v>116.08365765215603</v>
      </c>
      <c r="AD55" s="78">
        <f t="shared" si="13"/>
        <v>-79.493657652156031</v>
      </c>
      <c r="AE55" s="61">
        <f>[1]!srE2LETe(Y$6,Z55,0)</f>
        <v>52.666253385599326</v>
      </c>
      <c r="AF55" s="29">
        <f>[1]!srE2LETn(Y$6,Z55,0)</f>
        <v>3.4350614400660187E-2</v>
      </c>
      <c r="AG55" s="52"/>
      <c r="AH55" s="149">
        <f t="shared" si="23"/>
        <v>71.718311999999983</v>
      </c>
      <c r="AI55" s="67">
        <f>[1]!srLETt2E(AH$6,AH55,0,1)</f>
        <v>19.769206621574654</v>
      </c>
      <c r="AJ55" s="60">
        <f>[1]!srE2Rng(AH$6,AI55)</f>
        <v>213.46624091883439</v>
      </c>
      <c r="AK55" s="78">
        <f t="shared" si="24"/>
        <v>-161.81624091883438</v>
      </c>
      <c r="AL55" s="86">
        <f>[1]!srE2Rng(AH$5,AI55)</f>
        <v>188.02872363950493</v>
      </c>
      <c r="AM55" s="78">
        <f t="shared" si="15"/>
        <v>-142.45872363950494</v>
      </c>
      <c r="AN55" s="61">
        <f>[1]!srE2LETe(AH$6,AI55,0)</f>
        <v>71.668109684230714</v>
      </c>
      <c r="AO55" s="29">
        <f>[1]!srE2LETn(AH$6,AI55,0)</f>
        <v>5.0202315769267647E-2</v>
      </c>
      <c r="AP55" s="52"/>
    </row>
    <row r="56" spans="2:42">
      <c r="B56" s="7"/>
      <c r="C56" s="7"/>
      <c r="D56" s="7"/>
      <c r="E56" s="7"/>
      <c r="F56" s="61">
        <f t="shared" si="26"/>
        <v>0.73999999999999977</v>
      </c>
      <c r="G56" s="149">
        <f t="shared" si="17"/>
        <v>13.813343199999995</v>
      </c>
      <c r="H56" s="67">
        <f>[1]!srLETt2E(G$6,G56,0,1)</f>
        <v>4.9465437070628502</v>
      </c>
      <c r="I56" s="61">
        <f>[1]!srE2Rng(G$6,H56)</f>
        <v>54.213556722731795</v>
      </c>
      <c r="J56" s="78">
        <f t="shared" si="18"/>
        <v>-40.513556722731792</v>
      </c>
      <c r="K56" s="86">
        <f>[1]!srE2Rng(G$5,H56)</f>
        <v>47.583741162137521</v>
      </c>
      <c r="L56" s="78">
        <f t="shared" si="16"/>
        <v>-35.423741162137517</v>
      </c>
      <c r="M56" s="61">
        <f>[1]!srE2LETe(G$6,H56,0)</f>
        <v>13.803078425665838</v>
      </c>
      <c r="N56" s="29">
        <f>[1]!srE2LETn(G$6,H56,0)</f>
        <v>1.0264774334156814E-2</v>
      </c>
      <c r="O56" s="52"/>
      <c r="P56" s="149">
        <f t="shared" si="19"/>
        <v>30.338771599999991</v>
      </c>
      <c r="Q56" s="67">
        <f>[1]!srLETt2E(P$6,P56,0,1)</f>
        <v>10.731410101426478</v>
      </c>
      <c r="R56" s="60">
        <f>[1]!srE2Rng(P$6,Q56)</f>
        <v>112.41915041478244</v>
      </c>
      <c r="S56" s="78">
        <f t="shared" si="20"/>
        <v>-86.609150414782434</v>
      </c>
      <c r="T56" s="86">
        <f>[1]!srE2Rng(P$5,Q56)</f>
        <v>98.834265255389496</v>
      </c>
      <c r="U56" s="78">
        <f t="shared" si="11"/>
        <v>-76.04426525538949</v>
      </c>
      <c r="V56" s="61">
        <f>[1]!srE2LETe(P$6,Q56,0)</f>
        <v>30.31928634131453</v>
      </c>
      <c r="W56" s="29">
        <f>[1]!srE2LETn(P$6,Q56,0)</f>
        <v>1.9485258685459021E-2</v>
      </c>
      <c r="X56" s="52"/>
      <c r="Y56" s="149">
        <f t="shared" si="21"/>
        <v>51.313745999999988</v>
      </c>
      <c r="Z56" s="67">
        <f>[1]!srLETt2E(Y$6,Y56,0,1)</f>
        <v>14.393095110022722</v>
      </c>
      <c r="AA56" s="60">
        <f>[1]!srE2Rng(Y$6,Z56)</f>
        <v>142.04063857993194</v>
      </c>
      <c r="AB56" s="78">
        <f t="shared" si="22"/>
        <v>-100.50063857993194</v>
      </c>
      <c r="AC56" s="86">
        <f>[1]!srE2Rng(Y$5,Z56)</f>
        <v>124.99175303470194</v>
      </c>
      <c r="AD56" s="78">
        <f t="shared" si="13"/>
        <v>-88.40175303470194</v>
      </c>
      <c r="AE56" s="61">
        <f>[1]!srE2LETe(Y$6,Z56,0)</f>
        <v>51.281259333890105</v>
      </c>
      <c r="AF56" s="29">
        <f>[1]!srE2LETn(Y$6,Z56,0)</f>
        <v>3.2486666109881164E-2</v>
      </c>
      <c r="AG56" s="52"/>
      <c r="AH56" s="149">
        <f t="shared" si="23"/>
        <v>69.830987999999977</v>
      </c>
      <c r="AI56" s="67">
        <f>[1]!srLETt2E(AH$6,AH56,0,1)</f>
        <v>21.334974314030436</v>
      </c>
      <c r="AJ56" s="60">
        <f>[1]!srE2Rng(AH$6,AI56)</f>
        <v>232.37131647277047</v>
      </c>
      <c r="AK56" s="78">
        <f t="shared" si="24"/>
        <v>-180.72131647277047</v>
      </c>
      <c r="AL56" s="86">
        <f>[1]!srE2Rng(AH$5,AI56)</f>
        <v>204.71354971056059</v>
      </c>
      <c r="AM56" s="78">
        <f t="shared" si="15"/>
        <v>-159.14354971056059</v>
      </c>
      <c r="AN56" s="61">
        <f>[1]!srE2LETe(AH$6,AI56,0)</f>
        <v>69.783940763221466</v>
      </c>
      <c r="AO56" s="29">
        <f>[1]!srE2LETn(AH$6,AI56,0)</f>
        <v>4.7047236778508361E-2</v>
      </c>
      <c r="AP56" s="52"/>
    </row>
    <row r="57" spans="2:42">
      <c r="B57" s="7"/>
      <c r="C57" s="7"/>
      <c r="D57" s="7"/>
      <c r="E57" s="7"/>
      <c r="F57" s="61">
        <f t="shared" si="26"/>
        <v>0.71999999999999975</v>
      </c>
      <c r="G57" s="149">
        <f t="shared" si="17"/>
        <v>13.440009599999994</v>
      </c>
      <c r="H57" s="67">
        <f>[1]!srLETt2E(G$6,G57,0,1)</f>
        <v>5.2846494525633254</v>
      </c>
      <c r="I57" s="61">
        <f>[1]!srE2Rng(G$6,H57)</f>
        <v>58.531730557774615</v>
      </c>
      <c r="J57" s="78">
        <f t="shared" si="18"/>
        <v>-44.83173055777462</v>
      </c>
      <c r="K57" s="86">
        <f>[1]!srE2Rng(G$5,H57)</f>
        <v>51.370845824914312</v>
      </c>
      <c r="L57" s="78">
        <f t="shared" si="16"/>
        <v>-39.210845824914315</v>
      </c>
      <c r="M57" s="61">
        <f>[1]!srE2LETe(G$6,H57,0)</f>
        <v>13.430301395611103</v>
      </c>
      <c r="N57" s="29">
        <f>[1]!srE2LETn(G$6,H57,0)</f>
        <v>9.70820438889149E-3</v>
      </c>
      <c r="O57" s="52"/>
      <c r="P57" s="149">
        <f t="shared" si="19"/>
        <v>29.518804799999987</v>
      </c>
      <c r="Q57" s="67">
        <f>[1]!srLETt2E(P$6,P57,0,1)</f>
        <v>11.408483980113711</v>
      </c>
      <c r="R57" s="60">
        <f>[1]!srE2Rng(P$6,Q57)</f>
        <v>120.68865993951682</v>
      </c>
      <c r="S57" s="78">
        <f t="shared" si="20"/>
        <v>-94.878659939516822</v>
      </c>
      <c r="T57" s="86">
        <f>[1]!srE2Rng(P$5,Q57)</f>
        <v>106.11985101961558</v>
      </c>
      <c r="U57" s="78">
        <f t="shared" si="11"/>
        <v>-83.329851019615575</v>
      </c>
      <c r="V57" s="61">
        <f>[1]!srE2LETe(P$6,Q57,0)</f>
        <v>29.500297777654453</v>
      </c>
      <c r="W57" s="29">
        <f>[1]!srE2LETn(P$6,Q57,0)</f>
        <v>1.8507022345531709E-2</v>
      </c>
      <c r="X57" s="52"/>
      <c r="Y57" s="149">
        <f t="shared" si="21"/>
        <v>49.926887999999984</v>
      </c>
      <c r="Z57" s="67">
        <f>[1]!srLETt2E(Y$6,Y57,0,1)</f>
        <v>15.337827374615294</v>
      </c>
      <c r="AA57" s="60">
        <f>[1]!srE2Rng(Y$6,Z57)</f>
        <v>152.61912142622108</v>
      </c>
      <c r="AB57" s="78">
        <f t="shared" si="22"/>
        <v>-111.07912142622109</v>
      </c>
      <c r="AC57" s="86">
        <f>[1]!srE2Rng(Y$5,Z57)</f>
        <v>134.31236827781126</v>
      </c>
      <c r="AD57" s="78">
        <f t="shared" si="13"/>
        <v>-97.722368277811256</v>
      </c>
      <c r="AE57" s="61">
        <f>[1]!srE2LETe(Y$6,Z57,0)</f>
        <v>49.896198037204059</v>
      </c>
      <c r="AF57" s="29">
        <f>[1]!srE2LETn(Y$6,Z57,0)</f>
        <v>3.0689962795919533E-2</v>
      </c>
      <c r="AG57" s="52"/>
      <c r="AH57" s="149">
        <f t="shared" si="23"/>
        <v>67.943663999999984</v>
      </c>
      <c r="AI57" s="67">
        <f>[1]!srLETt2E(AH$6,AH57,0,1)</f>
        <v>22.921760992753576</v>
      </c>
      <c r="AJ57" s="60">
        <f>[1]!srE2Rng(AH$6,AI57)</f>
        <v>251.78909691416069</v>
      </c>
      <c r="AK57" s="78">
        <f t="shared" si="24"/>
        <v>-200.13909691416069</v>
      </c>
      <c r="AL57" s="86">
        <f>[1]!srE2Rng(AH$5,AI57)</f>
        <v>221.85032461749861</v>
      </c>
      <c r="AM57" s="78">
        <f t="shared" si="15"/>
        <v>-176.28032461749862</v>
      </c>
      <c r="AN57" s="61">
        <f>[1]!srE2LETe(AH$6,AI57,0)</f>
        <v>67.899595889679759</v>
      </c>
      <c r="AO57" s="29">
        <f>[1]!srE2LETn(AH$6,AI57,0)</f>
        <v>4.4068110320223404E-2</v>
      </c>
      <c r="AP57" s="52"/>
    </row>
    <row r="58" spans="2:42" s="108" customFormat="1">
      <c r="B58" s="7"/>
      <c r="C58" s="7"/>
      <c r="D58" s="7"/>
      <c r="E58" s="7"/>
      <c r="F58" s="141">
        <f t="shared" si="26"/>
        <v>0.69999999999999973</v>
      </c>
      <c r="G58" s="150">
        <f t="shared" si="17"/>
        <v>13.066675999999994</v>
      </c>
      <c r="H58" s="116">
        <f>[1]!srLETt2E(G$6,G58,0,1)</f>
        <v>5.6275498969399678</v>
      </c>
      <c r="I58" s="109">
        <f>[1]!srE2Rng(G$6,H58)</f>
        <v>62.944433808277324</v>
      </c>
      <c r="J58" s="113">
        <f t="shared" si="18"/>
        <v>-49.244433808277321</v>
      </c>
      <c r="K58" s="114">
        <f>[1]!srE2Rng(G$5,H58)</f>
        <v>55.240231578120259</v>
      </c>
      <c r="L58" s="113">
        <f t="shared" si="16"/>
        <v>-43.080231578120262</v>
      </c>
      <c r="M58" s="109">
        <f>[1]!srE2LETe(G$6,H58,0)</f>
        <v>13.057511300586592</v>
      </c>
      <c r="N58" s="117">
        <f>[1]!srE2LETn(G$6,H58,0)</f>
        <v>9.1646994134009074E-3</v>
      </c>
      <c r="O58" s="115"/>
      <c r="P58" s="150">
        <f t="shared" si="19"/>
        <v>28.698837999999988</v>
      </c>
      <c r="Q58" s="116">
        <f>[1]!srLETt2E(P$6,P58,0,1)</f>
        <v>12.100534226894617</v>
      </c>
      <c r="R58" s="112">
        <f>[1]!srE2Rng(P$6,Q58)</f>
        <v>129.25948793402594</v>
      </c>
      <c r="S58" s="113">
        <f t="shared" si="20"/>
        <v>-103.44948793402594</v>
      </c>
      <c r="T58" s="114">
        <f>[1]!srE2Rng(P$5,Q58)</f>
        <v>113.67019120794946</v>
      </c>
      <c r="U58" s="113">
        <f t="shared" si="11"/>
        <v>-90.880191207949451</v>
      </c>
      <c r="V58" s="109">
        <f>[1]!srE2LETe(P$6,Q58,0)</f>
        <v>28.681283161713335</v>
      </c>
      <c r="W58" s="117">
        <f>[1]!srE2LETn(P$6,Q58,0)</f>
        <v>1.7554838286654186E-2</v>
      </c>
      <c r="X58" s="115"/>
      <c r="Y58" s="150">
        <f t="shared" si="21"/>
        <v>48.54002999999998</v>
      </c>
      <c r="Z58" s="116">
        <f>[1]!srLETt2E(Y$6,Y58,0,1)</f>
        <v>16.354696966764113</v>
      </c>
      <c r="AA58" s="112">
        <f>[1]!srE2Rng(Y$6,Z58)</f>
        <v>164.45792396585449</v>
      </c>
      <c r="AB58" s="113">
        <f t="shared" si="22"/>
        <v>-122.9179239658545</v>
      </c>
      <c r="AC58" s="114">
        <f>[1]!srE2Rng(Y$5,Z58)</f>
        <v>144.74984316989622</v>
      </c>
      <c r="AD58" s="113">
        <f t="shared" si="13"/>
        <v>-108.15984316989622</v>
      </c>
      <c r="AE58" s="109">
        <f>[1]!srE2LETe(Y$6,Z58,0)</f>
        <v>48.510977603995258</v>
      </c>
      <c r="AF58" s="117">
        <f>[1]!srE2LETn(Y$6,Z58,0)</f>
        <v>2.9052396004723074E-2</v>
      </c>
      <c r="AG58" s="115"/>
      <c r="AH58" s="150">
        <f t="shared" si="23"/>
        <v>66.056339999999977</v>
      </c>
      <c r="AI58" s="116">
        <f>[1]!srLETt2E(AH$6,AH58,0,1)</f>
        <v>24.571317086622958</v>
      </c>
      <c r="AJ58" s="112">
        <f>[1]!srE2Rng(AH$6,AI58)</f>
        <v>272.82717243303017</v>
      </c>
      <c r="AK58" s="113">
        <f t="shared" si="24"/>
        <v>-221.17717243303017</v>
      </c>
      <c r="AL58" s="114">
        <f>[1]!srE2Rng(AH$5,AI58)</f>
        <v>240.41218550161699</v>
      </c>
      <c r="AM58" s="113">
        <f t="shared" si="15"/>
        <v>-194.842185501617</v>
      </c>
      <c r="AN58" s="109">
        <f>[1]!srE2LETe(AH$6,AI58,0)</f>
        <v>66.014813096824611</v>
      </c>
      <c r="AO58" s="117">
        <f>[1]!srE2LETn(AH$6,AI58,0)</f>
        <v>4.1526903175373872E-2</v>
      </c>
      <c r="AP58" s="115"/>
    </row>
    <row r="59" spans="2:42">
      <c r="B59" s="7"/>
      <c r="C59" s="7"/>
      <c r="D59" s="7"/>
      <c r="E59" s="7"/>
      <c r="F59" s="61">
        <f t="shared" si="26"/>
        <v>0.67999999999999972</v>
      </c>
      <c r="G59" s="149">
        <f t="shared" si="17"/>
        <v>12.693342399999993</v>
      </c>
      <c r="H59" s="67">
        <f>[1]!srLETt2E(G$6,G59,0,1)</f>
        <v>6.0095572020058716</v>
      </c>
      <c r="I59" s="61">
        <f>[1]!srE2Rng(G$6,H59)</f>
        <v>68.103060455887288</v>
      </c>
      <c r="J59" s="78">
        <f t="shared" si="18"/>
        <v>-54.403060455887285</v>
      </c>
      <c r="K59" s="86">
        <f>[1]!srE2Rng(G$5,H59)</f>
        <v>59.769310186981613</v>
      </c>
      <c r="L59" s="78">
        <f t="shared" si="16"/>
        <v>-47.609310186981617</v>
      </c>
      <c r="M59" s="61">
        <f>[1]!srE2LETe(G$6,H59,0)</f>
        <v>12.684672170842269</v>
      </c>
      <c r="N59" s="29">
        <f>[1]!srE2LETn(G$6,H59,0)</f>
        <v>8.6702291577235996E-3</v>
      </c>
      <c r="O59" s="52"/>
      <c r="P59" s="149">
        <f t="shared" si="19"/>
        <v>27.878871199999988</v>
      </c>
      <c r="Q59" s="67">
        <f>[1]!srLETt2E(P$6,P59,0,1)</f>
        <v>12.833694026794687</v>
      </c>
      <c r="R59" s="60">
        <f>[1]!srE2Rng(P$6,Q59)</f>
        <v>138.657423513065</v>
      </c>
      <c r="S59" s="78">
        <f t="shared" si="20"/>
        <v>-112.847423513065</v>
      </c>
      <c r="T59" s="86">
        <f>[1]!srE2Rng(P$5,Q59)</f>
        <v>121.9472720849013</v>
      </c>
      <c r="U59" s="78">
        <f t="shared" si="11"/>
        <v>-99.157272084901308</v>
      </c>
      <c r="V59" s="61">
        <f>[1]!srE2LETe(P$6,Q59,0)</f>
        <v>27.862197033264977</v>
      </c>
      <c r="W59" s="29">
        <f>[1]!srE2LETn(P$6,Q59,0)</f>
        <v>1.667416673501422E-2</v>
      </c>
      <c r="X59" s="52"/>
      <c r="Y59" s="149">
        <f t="shared" si="21"/>
        <v>47.153171999999984</v>
      </c>
      <c r="Z59" s="67">
        <f>[1]!srLETt2E(Y$6,Y59,0,1)</f>
        <v>17.406599608376272</v>
      </c>
      <c r="AA59" s="60">
        <f>[1]!srE2Rng(Y$6,Z59)</f>
        <v>176.92578940869819</v>
      </c>
      <c r="AB59" s="78">
        <f t="shared" si="22"/>
        <v>-135.3857894086982</v>
      </c>
      <c r="AC59" s="86">
        <f>[1]!srE2Rng(Y$5,Z59)</f>
        <v>155.74331362326808</v>
      </c>
      <c r="AD59" s="78">
        <f t="shared" si="13"/>
        <v>-119.15331362326808</v>
      </c>
      <c r="AE59" s="61">
        <f>[1]!srE2LETe(Y$6,Z59,0)</f>
        <v>47.125704897791174</v>
      </c>
      <c r="AF59" s="29">
        <f>[1]!srE2LETn(Y$6,Z59,0)</f>
        <v>2.7467102208807773E-2</v>
      </c>
      <c r="AG59" s="52"/>
      <c r="AH59" s="149">
        <f t="shared" si="23"/>
        <v>64.169015999999971</v>
      </c>
      <c r="AI59" s="67">
        <f>[1]!srLETt2E(AH$6,AH59,0,1)</f>
        <v>26.251045110454882</v>
      </c>
      <c r="AJ59" s="60">
        <f>[1]!srE2Rng(AH$6,AI59)</f>
        <v>294.74727618042016</v>
      </c>
      <c r="AK59" s="78">
        <f t="shared" si="24"/>
        <v>-243.09727618042015</v>
      </c>
      <c r="AL59" s="86">
        <f>[1]!srE2Rng(AH$5,AI59)</f>
        <v>259.75934555728401</v>
      </c>
      <c r="AM59" s="78">
        <f t="shared" si="15"/>
        <v>-214.18934555728401</v>
      </c>
      <c r="AN59" s="61">
        <f>[1]!srE2LETe(AH$6,AI59,0)</f>
        <v>64.129847034146181</v>
      </c>
      <c r="AO59" s="29">
        <f>[1]!srE2LETn(AH$6,AI59,0)</f>
        <v>3.9168965853797713E-2</v>
      </c>
      <c r="AP59" s="52"/>
    </row>
    <row r="60" spans="2:42">
      <c r="B60" s="7"/>
      <c r="C60" s="7"/>
      <c r="D60" s="7"/>
      <c r="E60" s="7"/>
      <c r="F60" s="61">
        <f t="shared" si="26"/>
        <v>0.6599999999999997</v>
      </c>
      <c r="G60" s="149">
        <f t="shared" si="17"/>
        <v>12.320008799999995</v>
      </c>
      <c r="H60" s="67">
        <f>[1]!srLETt2E(G$6,G60,0,1)</f>
        <v>6.4042236369927572</v>
      </c>
      <c r="I60" s="61">
        <f>[1]!srE2Rng(G$6,H60)</f>
        <v>73.533806699817433</v>
      </c>
      <c r="J60" s="78">
        <f t="shared" si="18"/>
        <v>-59.83380669981743</v>
      </c>
      <c r="K60" s="86">
        <f>[1]!srE2Rng(G$5,H60)</f>
        <v>64.537308255093961</v>
      </c>
      <c r="L60" s="78">
        <f t="shared" si="16"/>
        <v>-52.377308255093965</v>
      </c>
      <c r="M60" s="61">
        <f>[1]!srE2LETe(G$6,H60,0)</f>
        <v>12.311815621254489</v>
      </c>
      <c r="N60" s="29">
        <f>[1]!srE2LETn(G$6,H60,0)</f>
        <v>8.1931787455053872E-3</v>
      </c>
      <c r="O60" s="52"/>
      <c r="P60" s="149">
        <f t="shared" si="19"/>
        <v>27.058904399999985</v>
      </c>
      <c r="Q60" s="67">
        <f>[1]!srLETt2E(P$6,P60,0,1)</f>
        <v>13.605243158008337</v>
      </c>
      <c r="R60" s="60">
        <f>[1]!srE2Rng(P$6,Q60)</f>
        <v>148.85589995857751</v>
      </c>
      <c r="S60" s="78">
        <f t="shared" si="20"/>
        <v>-123.04589995857751</v>
      </c>
      <c r="T60" s="86">
        <f>[1]!srE2Rng(P$5,Q60)</f>
        <v>130.9319318783962</v>
      </c>
      <c r="U60" s="78">
        <f t="shared" si="11"/>
        <v>-108.14193187839621</v>
      </c>
      <c r="V60" s="61">
        <f>[1]!srE2LETe(P$6,Q60,0)</f>
        <v>27.043062769145788</v>
      </c>
      <c r="W60" s="29">
        <f>[1]!srE2LETn(P$6,Q60,0)</f>
        <v>1.5841630854200327E-2</v>
      </c>
      <c r="X60" s="52"/>
      <c r="Y60" s="149">
        <f t="shared" si="21"/>
        <v>45.76631399999998</v>
      </c>
      <c r="Z60" s="67">
        <f>[1]!srLETt2E(Y$6,Y60,0,1)</f>
        <v>18.532707870826545</v>
      </c>
      <c r="AA60" s="60">
        <f>[1]!srE2Rng(Y$6,Z60)</f>
        <v>190.72611103203482</v>
      </c>
      <c r="AB60" s="78">
        <f t="shared" si="22"/>
        <v>-149.18611103203483</v>
      </c>
      <c r="AC60" s="86">
        <f>[1]!srE2Rng(Y$5,Z60)</f>
        <v>167.91447190115264</v>
      </c>
      <c r="AD60" s="78">
        <f t="shared" si="13"/>
        <v>-131.32447190115263</v>
      </c>
      <c r="AE60" s="61">
        <f>[1]!srE2LETe(Y$6,Z60,0)</f>
        <v>45.740321468994352</v>
      </c>
      <c r="AF60" s="29">
        <f>[1]!srE2LETn(Y$6,Z60,0)</f>
        <v>2.5992531005624885E-2</v>
      </c>
      <c r="AG60" s="52"/>
      <c r="AH60" s="149">
        <f t="shared" si="23"/>
        <v>62.281691999999978</v>
      </c>
      <c r="AI60" s="67">
        <f>[1]!srLETt2E(AH$6,AH60,0,1)</f>
        <v>27.962665940695246</v>
      </c>
      <c r="AJ60" s="60">
        <f>[1]!srE2Rng(AH$6,AI60)</f>
        <v>317.58086914779665</v>
      </c>
      <c r="AK60" s="78">
        <f t="shared" si="24"/>
        <v>-265.93086914779667</v>
      </c>
      <c r="AL60" s="86">
        <f>[1]!srE2Rng(AH$5,AI60)</f>
        <v>279.91928697197216</v>
      </c>
      <c r="AM60" s="78">
        <f t="shared" si="15"/>
        <v>-234.34928697197216</v>
      </c>
      <c r="AN60" s="61">
        <f>[1]!srE2LETe(AH$6,AI60,0)</f>
        <v>62.244699202739113</v>
      </c>
      <c r="AO60" s="29">
        <f>[1]!srE2LETn(AH$6,AI60,0)</f>
        <v>3.6992797260869376E-2</v>
      </c>
      <c r="AP60" s="52"/>
    </row>
    <row r="61" spans="2:42">
      <c r="B61" s="7"/>
      <c r="C61" s="7"/>
      <c r="D61" s="7"/>
      <c r="E61" s="7"/>
      <c r="F61" s="61">
        <f t="shared" si="26"/>
        <v>0.63999999999999968</v>
      </c>
      <c r="G61" s="149">
        <f t="shared" si="17"/>
        <v>11.946675199999994</v>
      </c>
      <c r="H61" s="67">
        <f>[1]!srLETt2E(G$6,G61,0,1)</f>
        <v>6.8203912002026215</v>
      </c>
      <c r="I61" s="61">
        <f>[1]!srE2Rng(G$6,H61)</f>
        <v>79.426739394869116</v>
      </c>
      <c r="J61" s="78">
        <f t="shared" si="18"/>
        <v>-65.726739394869114</v>
      </c>
      <c r="K61" s="86">
        <f>[1]!srE2Rng(G$5,H61)</f>
        <v>69.711103400918986</v>
      </c>
      <c r="L61" s="78">
        <f t="shared" si="16"/>
        <v>-57.55110340091899</v>
      </c>
      <c r="M61" s="61">
        <f>[1]!srE2LETe(G$6,H61,0)</f>
        <v>11.938929484618452</v>
      </c>
      <c r="N61" s="29">
        <f>[1]!srE2LETn(G$6,H61,0)</f>
        <v>7.7457153815421419E-3</v>
      </c>
      <c r="O61" s="52"/>
      <c r="P61" s="149">
        <f t="shared" si="19"/>
        <v>26.238937599999986</v>
      </c>
      <c r="Q61" s="67">
        <f>[1]!srLETt2E(P$6,P61,0,1)</f>
        <v>14.406962714973911</v>
      </c>
      <c r="R61" s="60">
        <f>[1]!srE2Rng(P$6,Q61)</f>
        <v>159.6918914524598</v>
      </c>
      <c r="S61" s="78">
        <f t="shared" si="20"/>
        <v>-133.8818914524598</v>
      </c>
      <c r="T61" s="86">
        <f>[1]!srE2Rng(P$5,Q61)</f>
        <v>140.48023106491519</v>
      </c>
      <c r="U61" s="78">
        <f t="shared" si="11"/>
        <v>-117.6902310649152</v>
      </c>
      <c r="V61" s="61">
        <f>[1]!srE2LETe(P$6,Q61,0)</f>
        <v>26.223892504140984</v>
      </c>
      <c r="W61" s="29">
        <f>[1]!srE2LETn(P$6,Q61,0)</f>
        <v>1.5045095859004574E-2</v>
      </c>
      <c r="X61" s="52"/>
      <c r="Y61" s="149">
        <f t="shared" si="21"/>
        <v>44.379455999999976</v>
      </c>
      <c r="Z61" s="67">
        <f>[1]!srLETt2E(Y$6,Y61,0,1)</f>
        <v>19.733900640839419</v>
      </c>
      <c r="AA61" s="60">
        <f>[1]!srE2Rng(Y$6,Z61)</f>
        <v>205.93739874529516</v>
      </c>
      <c r="AB61" s="78">
        <f t="shared" si="22"/>
        <v>-164.39739874529516</v>
      </c>
      <c r="AC61" s="86">
        <f>[1]!srE2Rng(Y$5,Z61)</f>
        <v>181.32924007480909</v>
      </c>
      <c r="AD61" s="78">
        <f t="shared" si="13"/>
        <v>-144.73924007480909</v>
      </c>
      <c r="AE61" s="61">
        <f>[1]!srE2LETe(Y$6,Z61,0)</f>
        <v>44.354855974053621</v>
      </c>
      <c r="AF61" s="29">
        <f>[1]!srE2LETn(Y$6,Z61,0)</f>
        <v>2.4600025946355412E-2</v>
      </c>
      <c r="AG61" s="52"/>
      <c r="AH61" s="149">
        <f t="shared" si="23"/>
        <v>60.394367999999972</v>
      </c>
      <c r="AI61" s="67">
        <f>[1]!srLETt2E(AH$6,AH61,0,1)</f>
        <v>29.789069129947759</v>
      </c>
      <c r="AJ61" s="60">
        <f>[1]!srE2Rng(AH$6,AI61)</f>
        <v>343.00443807025539</v>
      </c>
      <c r="AK61" s="78">
        <f t="shared" si="24"/>
        <v>-291.35443807025541</v>
      </c>
      <c r="AL61" s="86">
        <f>[1]!srE2Rng(AH$5,AI61)</f>
        <v>302.36370006824978</v>
      </c>
      <c r="AM61" s="78">
        <f t="shared" si="15"/>
        <v>-256.79370006824979</v>
      </c>
      <c r="AN61" s="61">
        <f>[1]!srE2LETe(AH$6,AI61,0)</f>
        <v>60.359339718537527</v>
      </c>
      <c r="AO61" s="29">
        <f>[1]!srE2LETn(AH$6,AI61,0)</f>
        <v>3.502828146244559E-2</v>
      </c>
      <c r="AP61" s="52"/>
    </row>
    <row r="62" spans="2:42">
      <c r="B62" s="7"/>
      <c r="C62" s="7"/>
      <c r="D62" s="7"/>
      <c r="E62" s="7"/>
      <c r="F62" s="61">
        <f t="shared" si="26"/>
        <v>0.61999999999999966</v>
      </c>
      <c r="G62" s="149">
        <f t="shared" si="17"/>
        <v>11.573341599999994</v>
      </c>
      <c r="H62" s="67">
        <f>[1]!srLETt2E(G$6,G62,0,1)</f>
        <v>7.2720414696630886</v>
      </c>
      <c r="I62" s="61">
        <f>[1]!srE2Rng(G$6,H62)</f>
        <v>86.076213751013711</v>
      </c>
      <c r="J62" s="78">
        <f t="shared" si="18"/>
        <v>-72.376213751013708</v>
      </c>
      <c r="K62" s="86">
        <f>[1]!srE2Rng(G$5,H62)</f>
        <v>75.561068100892072</v>
      </c>
      <c r="L62" s="78">
        <f t="shared" si="16"/>
        <v>-63.401068100892076</v>
      </c>
      <c r="M62" s="61">
        <f>[1]!srE2LETe(G$6,H62,0)</f>
        <v>11.56601416075492</v>
      </c>
      <c r="N62" s="29">
        <f>[1]!srE2LETn(G$6,H62,0)</f>
        <v>7.3274392450731066E-3</v>
      </c>
      <c r="O62" s="52"/>
      <c r="P62" s="149">
        <f t="shared" si="19"/>
        <v>25.418970799999986</v>
      </c>
      <c r="Q62" s="67">
        <f>[1]!srLETt2E(P$6,P62,0,1)</f>
        <v>15.262462528634334</v>
      </c>
      <c r="R62" s="60">
        <f>[1]!srE2Rng(P$6,Q62)</f>
        <v>171.70002903692296</v>
      </c>
      <c r="S62" s="78">
        <f t="shared" si="20"/>
        <v>-145.89002903692295</v>
      </c>
      <c r="T62" s="86">
        <f>[1]!srE2Rng(P$5,Q62)</f>
        <v>151.06550135929834</v>
      </c>
      <c r="U62" s="78">
        <f t="shared" si="11"/>
        <v>-128.27550135929835</v>
      </c>
      <c r="V62" s="61">
        <f>[1]!srE2LETe(P$6,Q62,0)</f>
        <v>25.40466588257976</v>
      </c>
      <c r="W62" s="29">
        <f>[1]!srE2LETn(P$6,Q62,0)</f>
        <v>1.4304917420225575E-2</v>
      </c>
      <c r="X62" s="52"/>
      <c r="Y62" s="149">
        <f t="shared" si="21"/>
        <v>42.99259799999998</v>
      </c>
      <c r="Z62" s="67">
        <f>[1]!srLETt2E(Y$6,Y62,0,1)</f>
        <v>20.990999353852878</v>
      </c>
      <c r="AA62" s="60">
        <f>[1]!srE2Rng(Y$6,Z62)</f>
        <v>222.21614520662854</v>
      </c>
      <c r="AB62" s="78">
        <f t="shared" si="22"/>
        <v>-180.67614520662855</v>
      </c>
      <c r="AC62" s="86">
        <f>[1]!srE2Rng(Y$5,Z62)</f>
        <v>195.68640223012559</v>
      </c>
      <c r="AD62" s="78">
        <f t="shared" si="13"/>
        <v>-159.09640223012559</v>
      </c>
      <c r="AE62" s="61">
        <f>[1]!srE2LETe(Y$6,Z62,0)</f>
        <v>42.969332018449762</v>
      </c>
      <c r="AF62" s="29">
        <f>[1]!srE2LETn(Y$6,Z62,0)</f>
        <v>2.3265981550216627E-2</v>
      </c>
      <c r="AG62" s="52"/>
      <c r="AH62" s="149">
        <f t="shared" si="23"/>
        <v>58.507043999999972</v>
      </c>
      <c r="AI62" s="67">
        <f>[1]!srLETt2E(AH$6,AH62,0,1)</f>
        <v>31.959434537319598</v>
      </c>
      <c r="AJ62" s="60">
        <f>[1]!srE2Rng(AH$6,AI62)</f>
        <v>374.03295169481095</v>
      </c>
      <c r="AK62" s="78">
        <f t="shared" si="24"/>
        <v>-322.38295169481097</v>
      </c>
      <c r="AL62" s="86">
        <f>[1]!srE2Rng(AH$5,AI62)</f>
        <v>329.7631978737611</v>
      </c>
      <c r="AM62" s="78">
        <f t="shared" si="15"/>
        <v>-284.19319787376111</v>
      </c>
      <c r="AN62" s="61">
        <f>[1]!srE2LETe(AH$6,AI62,0)</f>
        <v>58.474125240438077</v>
      </c>
      <c r="AO62" s="29">
        <f>[1]!srE2LETn(AH$6,AI62,0)</f>
        <v>3.2918759561895786E-2</v>
      </c>
      <c r="AP62" s="52"/>
    </row>
    <row r="63" spans="2:42" s="108" customFormat="1">
      <c r="B63" s="7"/>
      <c r="C63" s="7"/>
      <c r="D63" s="7"/>
      <c r="E63" s="7"/>
      <c r="F63" s="141">
        <f t="shared" si="26"/>
        <v>0.59999999999999964</v>
      </c>
      <c r="G63" s="150">
        <f t="shared" si="17"/>
        <v>11.200007999999993</v>
      </c>
      <c r="H63" s="116">
        <f>[1]!srLETt2E(G$6,G63,0,1)</f>
        <v>7.7539618554350405</v>
      </c>
      <c r="I63" s="109">
        <f>[1]!srE2Rng(G$6,H63)</f>
        <v>93.371171047917031</v>
      </c>
      <c r="J63" s="113">
        <f t="shared" si="18"/>
        <v>-79.671171047917028</v>
      </c>
      <c r="K63" s="114">
        <f>[1]!srE2Rng(G$5,H63)</f>
        <v>81.979817844229586</v>
      </c>
      <c r="L63" s="113">
        <f t="shared" si="16"/>
        <v>-69.81981784422959</v>
      </c>
      <c r="M63" s="109">
        <f>[1]!srE2LETe(G$6,H63,0)</f>
        <v>11.193084074399811</v>
      </c>
      <c r="N63" s="117">
        <f>[1]!srE2LETn(G$6,H63,0)</f>
        <v>6.923925600182409E-3</v>
      </c>
      <c r="O63" s="115"/>
      <c r="P63" s="150">
        <f t="shared" si="19"/>
        <v>24.599003999999987</v>
      </c>
      <c r="Q63" s="116">
        <f>[1]!srLETt2E(P$6,P63,0,1)</f>
        <v>16.173003638604566</v>
      </c>
      <c r="R63" s="112">
        <f>[1]!srE2Rng(P$6,Q63)</f>
        <v>184.91974056523</v>
      </c>
      <c r="S63" s="113">
        <f t="shared" si="20"/>
        <v>-159.10974056523</v>
      </c>
      <c r="T63" s="114">
        <f>[1]!srE2Rng(P$5,Q63)</f>
        <v>162.71812183842437</v>
      </c>
      <c r="U63" s="113">
        <f t="shared" si="11"/>
        <v>-139.92812183842437</v>
      </c>
      <c r="V63" s="109">
        <f>[1]!srE2LETe(P$6,Q63,0)</f>
        <v>24.585410790750771</v>
      </c>
      <c r="W63" s="117">
        <f>[1]!srE2LETn(P$6,Q63,0)</f>
        <v>1.3593209249214949E-2</v>
      </c>
      <c r="X63" s="115"/>
      <c r="Y63" s="150">
        <f t="shared" si="21"/>
        <v>41.605739999999976</v>
      </c>
      <c r="Z63" s="116">
        <f>[1]!srLETt2E(Y$6,Y63,0,1)</f>
        <v>22.35072612726325</v>
      </c>
      <c r="AA63" s="112">
        <f>[1]!srE2Rng(Y$6,Z63)</f>
        <v>240.55222391328022</v>
      </c>
      <c r="AB63" s="113">
        <f t="shared" si="22"/>
        <v>-199.01222391328022</v>
      </c>
      <c r="AC63" s="114">
        <f>[1]!srE2Rng(Y$5,Z63)</f>
        <v>211.86867372769521</v>
      </c>
      <c r="AD63" s="113">
        <f t="shared" si="13"/>
        <v>-175.27867372769521</v>
      </c>
      <c r="AE63" s="109">
        <f>[1]!srE2LETe(Y$6,Z63,0)</f>
        <v>41.583716047273661</v>
      </c>
      <c r="AF63" s="117">
        <f>[1]!srE2LETn(Y$6,Z63,0)</f>
        <v>2.2023952726312655E-2</v>
      </c>
      <c r="AG63" s="115"/>
      <c r="AH63" s="150">
        <f t="shared" si="23"/>
        <v>56.619719999999973</v>
      </c>
      <c r="AI63" s="116">
        <f>[1]!srLETt2E(AH$6,AH63,0,1)</f>
        <v>34.435101104445053</v>
      </c>
      <c r="AJ63" s="112">
        <f>[1]!srE2Rng(AH$6,AI63)</f>
        <v>410.56098513904828</v>
      </c>
      <c r="AK63" s="113">
        <f t="shared" si="24"/>
        <v>-358.91098513904831</v>
      </c>
      <c r="AL63" s="114">
        <f>[1]!srE2Rng(AH$5,AI63)</f>
        <v>362.02159667097624</v>
      </c>
      <c r="AM63" s="113">
        <f t="shared" si="15"/>
        <v>-316.45159667097624</v>
      </c>
      <c r="AN63" s="109">
        <f>[1]!srE2LETe(AH$6,AI63,0)</f>
        <v>56.588906208266977</v>
      </c>
      <c r="AO63" s="117">
        <f>[1]!srE2LETn(AH$6,AI63,0)</f>
        <v>3.0813791732994276E-2</v>
      </c>
      <c r="AP63" s="115"/>
    </row>
    <row r="64" spans="2:42">
      <c r="B64" s="7"/>
      <c r="C64" s="7"/>
      <c r="D64" s="7"/>
      <c r="E64" s="7"/>
      <c r="F64" s="61">
        <f>F63-0.05</f>
        <v>0.5499999999999996</v>
      </c>
      <c r="G64" s="149">
        <f t="shared" si="17"/>
        <v>10.266673999999993</v>
      </c>
      <c r="H64" s="67">
        <f>[1]!srLETt2E(G$6,G64,0,1)</f>
        <v>9.1175089915157095</v>
      </c>
      <c r="I64" s="61">
        <f>[1]!srE2Rng(G$6,H64)</f>
        <v>115.31063048200691</v>
      </c>
      <c r="J64" s="78">
        <f t="shared" si="18"/>
        <v>-101.61063048200691</v>
      </c>
      <c r="K64" s="86">
        <f>[1]!srE2Rng(G$5,H64)</f>
        <v>101.26973235511124</v>
      </c>
      <c r="L64" s="78">
        <f t="shared" si="16"/>
        <v>-89.109732355111248</v>
      </c>
      <c r="M64" s="61">
        <f>[1]!srE2LETe(G$6,H64,0)</f>
        <v>10.260674389294197</v>
      </c>
      <c r="N64" s="29">
        <f>[1]!srE2LETn(G$6,H64,0)</f>
        <v>5.9996107057955503E-3</v>
      </c>
      <c r="O64" s="52"/>
      <c r="P64" s="149">
        <f t="shared" si="19"/>
        <v>22.549086999999982</v>
      </c>
      <c r="Q64" s="67">
        <f>[1]!srLETt2E(P$6,P64,0,1)</f>
        <v>18.694269578508351</v>
      </c>
      <c r="R64" s="60">
        <f>[1]!srE2Rng(P$6,Q64)</f>
        <v>223.69538315069593</v>
      </c>
      <c r="S64" s="78">
        <f t="shared" si="20"/>
        <v>-197.88538315069593</v>
      </c>
      <c r="T64" s="86">
        <f>[1]!srE2Rng(P$5,Q64)</f>
        <v>196.90727737623408</v>
      </c>
      <c r="U64" s="78">
        <f t="shared" si="11"/>
        <v>-174.11727737623409</v>
      </c>
      <c r="V64" s="61">
        <f>[1]!srE2LETe(P$6,Q64,0)</f>
        <v>22.537132198647686</v>
      </c>
      <c r="W64" s="29">
        <f>[1]!srE2LETn(P$6,Q64,0)</f>
        <v>1.1954801352296559E-2</v>
      </c>
      <c r="X64" s="52"/>
      <c r="Y64" s="149">
        <f t="shared" si="21"/>
        <v>38.138594999999974</v>
      </c>
      <c r="Z64" s="67">
        <f>[1]!srLETt2E(Y$6,Y64,0,1)</f>
        <v>26.165078555589481</v>
      </c>
      <c r="AA64" s="60">
        <f>[1]!srE2Rng(Y$6,Z64)</f>
        <v>295.07670198855277</v>
      </c>
      <c r="AB64" s="78">
        <f t="shared" si="22"/>
        <v>-253.53670198855278</v>
      </c>
      <c r="AC64" s="86">
        <f>[1]!srE2Rng(Y$5,Z64)</f>
        <v>259.99112395761421</v>
      </c>
      <c r="AD64" s="78">
        <f t="shared" si="13"/>
        <v>-223.4011239576142</v>
      </c>
      <c r="AE64" s="61">
        <f>[1]!srE2LETe(Y$6,Z64,0)</f>
        <v>38.119438406690982</v>
      </c>
      <c r="AF64" s="29">
        <f>[1]!srE2LETn(Y$6,Z64,0)</f>
        <v>1.9156593308990406E-2</v>
      </c>
      <c r="AG64" s="52"/>
      <c r="AH64" s="149">
        <f t="shared" si="23"/>
        <v>51.901409999999963</v>
      </c>
      <c r="AI64" s="67">
        <f>[1]!srLETt2E(AH$6,AH64,0,1)</f>
        <v>41.488886256875972</v>
      </c>
      <c r="AJ64" s="60">
        <f>[1]!srE2Rng(AH$6,AI64)</f>
        <v>521.35247476990264</v>
      </c>
      <c r="AK64" s="78">
        <f t="shared" si="24"/>
        <v>-469.70247476990266</v>
      </c>
      <c r="AL64" s="86">
        <f>[1]!srE2Rng(AH$5,AI64)</f>
        <v>459.89536543274761</v>
      </c>
      <c r="AM64" s="78">
        <f t="shared" si="15"/>
        <v>-414.32536543274762</v>
      </c>
      <c r="AN64" s="61">
        <f>[1]!srE2LETe(AH$6,AI64,0)</f>
        <v>51.87526753996444</v>
      </c>
      <c r="AO64" s="29">
        <f>[1]!srE2LETn(AH$6,AI64,0)</f>
        <v>2.6142460035523944E-2</v>
      </c>
      <c r="AP64" s="52"/>
    </row>
    <row r="65" spans="2:42" s="108" customFormat="1">
      <c r="B65" s="7"/>
      <c r="C65" s="7"/>
      <c r="D65" s="7"/>
      <c r="E65" s="7"/>
      <c r="F65" s="141">
        <f t="shared" ref="F65:F73" si="27">F64-0.05</f>
        <v>0.49999999999999961</v>
      </c>
      <c r="G65" s="150">
        <f t="shared" si="17"/>
        <v>9.3333399999999926</v>
      </c>
      <c r="H65" s="140">
        <f>[1]!srLETt2E(G$6,G65,0,1)</f>
        <v>10.794437411629396</v>
      </c>
      <c r="I65" s="109">
        <f>[1]!srE2Rng(G$6,H65)</f>
        <v>145.01138238246446</v>
      </c>
      <c r="J65" s="118">
        <f t="shared" si="18"/>
        <v>-131.31138238246447</v>
      </c>
      <c r="K65" s="118">
        <f>[1]!srE2Rng(G$5,H65)</f>
        <v>127.40997557617283</v>
      </c>
      <c r="L65" s="118">
        <f t="shared" si="16"/>
        <v>-115.24997557617283</v>
      </c>
      <c r="M65" s="109">
        <f>[1]!srE2LETe(G$6,H65,0)</f>
        <v>9.3281636458113208</v>
      </c>
      <c r="N65" s="117">
        <f>[1]!srE2LETn(G$6,H65,0)</f>
        <v>5.1763541886709766E-3</v>
      </c>
      <c r="O65" s="115"/>
      <c r="P65" s="150">
        <f t="shared" si="19"/>
        <v>20.499169999999985</v>
      </c>
      <c r="Q65" s="140">
        <f>[1]!srLETt2E(P$6,P65,0,1)</f>
        <v>21.765919309192778</v>
      </c>
      <c r="R65" s="112">
        <f>[1]!srE2Rng(P$6,Q65)</f>
        <v>275.59525447390911</v>
      </c>
      <c r="S65" s="118">
        <f t="shared" si="20"/>
        <v>-249.78525447390911</v>
      </c>
      <c r="T65" s="118">
        <f>[1]!srE2Rng(P$5,Q65)</f>
        <v>242.68832275801259</v>
      </c>
      <c r="U65" s="118">
        <f t="shared" si="11"/>
        <v>-219.8983227580126</v>
      </c>
      <c r="V65" s="109">
        <f>[1]!srE2LETe(P$6,Q65,0)</f>
        <v>20.488723751687694</v>
      </c>
      <c r="W65" s="117">
        <f>[1]!srE2LETn(P$6,Q65,0)</f>
        <v>1.0446248312291248E-2</v>
      </c>
      <c r="X65" s="115"/>
      <c r="Y65" s="150">
        <f t="shared" si="21"/>
        <v>34.671449999999972</v>
      </c>
      <c r="Z65" s="140">
        <f>[1]!srLETt2E(Y$6,Y65,0,1)</f>
        <v>30.84091367805863</v>
      </c>
      <c r="AA65" s="112">
        <f>[1]!srE2Rng(Y$6,Z65)</f>
        <v>368.52115718961664</v>
      </c>
      <c r="AB65" s="118">
        <f t="shared" si="22"/>
        <v>-326.98115718961662</v>
      </c>
      <c r="AC65" s="118">
        <f>[1]!srE2Rng(Y$5,Z65)</f>
        <v>324.83466817972101</v>
      </c>
      <c r="AD65" s="118">
        <f t="shared" si="13"/>
        <v>-288.24466817972097</v>
      </c>
      <c r="AE65" s="109">
        <f>[1]!srE2LETe(Y$6,Z65,0)</f>
        <v>34.654877142022357</v>
      </c>
      <c r="AF65" s="117">
        <f>[1]!srE2LETn(Y$6,Z65,0)</f>
        <v>1.6572857977617511E-2</v>
      </c>
      <c r="AG65" s="115"/>
      <c r="AH65" s="150">
        <f t="shared" si="23"/>
        <v>47.183099999999968</v>
      </c>
      <c r="AI65" s="140">
        <f>[1]!srLETt2E(AH$6,AH65,0,1)</f>
        <v>50.07878286698751</v>
      </c>
      <c r="AJ65" s="112">
        <f>[1]!srE2Rng(AH$6,AI65)</f>
        <v>668.8559913327781</v>
      </c>
      <c r="AK65" s="118">
        <f t="shared" si="24"/>
        <v>-617.20599133277813</v>
      </c>
      <c r="AL65" s="118">
        <f>[1]!srE2Rng(AH$5,AI65)</f>
        <v>590.24592579264606</v>
      </c>
      <c r="AM65" s="118">
        <f t="shared" si="15"/>
        <v>-544.67592579264601</v>
      </c>
      <c r="AN65" s="109">
        <f>[1]!srE2LETe(AH$6,AI65,0)</f>
        <v>47.160992213281034</v>
      </c>
      <c r="AO65" s="117">
        <f>[1]!srE2LETn(AH$6,AI65,0)</f>
        <v>2.2107786718935405E-2</v>
      </c>
      <c r="AP65" s="115"/>
    </row>
    <row r="66" spans="2:42">
      <c r="B66" s="7"/>
      <c r="C66" s="7"/>
      <c r="D66" s="7"/>
      <c r="E66" s="7"/>
      <c r="F66" s="61">
        <f t="shared" si="27"/>
        <v>0.44999999999999962</v>
      </c>
      <c r="G66" s="149">
        <f t="shared" si="17"/>
        <v>8.4000059999999923</v>
      </c>
      <c r="H66" s="68">
        <f>[1]!srLETt2E(G$6,G66,0,1)</f>
        <v>12.840838380276001</v>
      </c>
      <c r="I66" s="61">
        <f>[1]!srE2Rng(G$6,H66)</f>
        <v>184.90216501678302</v>
      </c>
      <c r="J66" s="81">
        <f t="shared" si="18"/>
        <v>-171.20216501678303</v>
      </c>
      <c r="K66" s="81">
        <f>[1]!srE2Rng(G$5,H66)</f>
        <v>162.53688583369853</v>
      </c>
      <c r="L66" s="81">
        <f t="shared" si="16"/>
        <v>-150.37688583369854</v>
      </c>
      <c r="M66" s="61">
        <f>[1]!srE2LETe(G$6,H66,0)</f>
        <v>8.3955733428191444</v>
      </c>
      <c r="N66" s="29">
        <f>[1]!srE2LETn(G$6,H66,0)</f>
        <v>4.4326571808467451E-3</v>
      </c>
      <c r="O66" s="52"/>
      <c r="P66" s="149">
        <f t="shared" si="19"/>
        <v>18.449252999999985</v>
      </c>
      <c r="Q66" s="68">
        <f>[1]!srLETt2E(P$6,P66,0,1)</f>
        <v>25.742440406418353</v>
      </c>
      <c r="R66" s="60">
        <f>[1]!srE2Rng(P$6,Q66)</f>
        <v>350.11878664496953</v>
      </c>
      <c r="S66" s="81">
        <f t="shared" si="20"/>
        <v>-324.30878664496953</v>
      </c>
      <c r="T66" s="81">
        <f>[1]!srE2Rng(P$5,Q66)</f>
        <v>308.46544800391604</v>
      </c>
      <c r="U66" s="81">
        <f t="shared" si="11"/>
        <v>-285.67544800391602</v>
      </c>
      <c r="V66" s="61">
        <f>[1]!srE2LETe(P$6,Q66,0)</f>
        <v>18.440239832117502</v>
      </c>
      <c r="W66" s="29">
        <f>[1]!srE2LETn(P$6,Q66,0)</f>
        <v>9.013167882482253E-3</v>
      </c>
      <c r="X66" s="52"/>
      <c r="Y66" s="149">
        <f t="shared" si="21"/>
        <v>31.204304999999973</v>
      </c>
      <c r="Z66" s="68">
        <f>[1]!srLETt2E(Y$6,Y66,0,1)</f>
        <v>36.777635389218325</v>
      </c>
      <c r="AA66" s="60">
        <f>[1]!srE2Rng(Y$6,Z66)</f>
        <v>471.56269078351551</v>
      </c>
      <c r="AB66" s="81">
        <f t="shared" si="22"/>
        <v>-430.02269078351549</v>
      </c>
      <c r="AC66" s="81">
        <f>[1]!srE2Rng(Y$5,Z66)</f>
        <v>415.84669667119658</v>
      </c>
      <c r="AD66" s="81">
        <f t="shared" si="13"/>
        <v>-379.25669667119655</v>
      </c>
      <c r="AE66" s="61">
        <f>[1]!srE2LETe(Y$6,Z66,0)</f>
        <v>31.190129642210117</v>
      </c>
      <c r="AF66" s="29">
        <f>[1]!srE2LETn(Y$6,Z66,0)</f>
        <v>1.4175357789855052E-2</v>
      </c>
      <c r="AG66" s="52"/>
      <c r="AH66" s="149">
        <f t="shared" si="23"/>
        <v>42.464789999999965</v>
      </c>
      <c r="AI66" s="68">
        <f>[1]!srLETt2E(AH$6,AH66,0,1)</f>
        <v>60.898340422196796</v>
      </c>
      <c r="AJ66" s="60">
        <f>[1]!srE2Rng(AH$6,AI66)</f>
        <v>874.11993975231655</v>
      </c>
      <c r="AK66" s="81">
        <f t="shared" si="24"/>
        <v>-822.46993975231658</v>
      </c>
      <c r="AL66" s="81">
        <f>[1]!srE2Rng(AH$5,AI66)</f>
        <v>771.67474952582972</v>
      </c>
      <c r="AM66" s="81">
        <f t="shared" si="15"/>
        <v>-726.10474952582967</v>
      </c>
      <c r="AN66" s="61">
        <f>[1]!srE2LETe(AH$6,AI66,0)</f>
        <v>42.446235489864094</v>
      </c>
      <c r="AO66" s="29">
        <f>[1]!srE2LETn(AH$6,AI66,0)</f>
        <v>1.8554510135872577E-2</v>
      </c>
      <c r="AP66" s="52"/>
    </row>
    <row r="67" spans="2:42">
      <c r="B67" s="7"/>
      <c r="C67" s="7"/>
      <c r="D67" s="7"/>
      <c r="E67" s="7"/>
      <c r="F67" s="61">
        <f t="shared" si="27"/>
        <v>0.39999999999999963</v>
      </c>
      <c r="G67" s="149">
        <f t="shared" si="17"/>
        <v>7.4666719999999929</v>
      </c>
      <c r="H67" s="68">
        <f>[1]!srLETt2E(G$6,G67,0,1)</f>
        <v>15.444873346812122</v>
      </c>
      <c r="I67" s="61">
        <f>[1]!srE2Rng(G$6,H67)</f>
        <v>241.72309252701169</v>
      </c>
      <c r="J67" s="81">
        <f t="shared" si="18"/>
        <v>-228.0230925270117</v>
      </c>
      <c r="K67" s="81">
        <f>[1]!srE2Rng(G$5,H67)</f>
        <v>212.61524208981024</v>
      </c>
      <c r="L67" s="81">
        <f t="shared" si="16"/>
        <v>-200.45524208981024</v>
      </c>
      <c r="M67" s="61">
        <f>[1]!srE2LETe(G$6,H67,0)</f>
        <v>7.4629113131495171</v>
      </c>
      <c r="N67" s="29">
        <f>[1]!srE2LETn(G$6,H67,0)</f>
        <v>3.76068685047583E-3</v>
      </c>
      <c r="O67" s="52"/>
      <c r="P67" s="149">
        <f t="shared" si="19"/>
        <v>16.399335999999984</v>
      </c>
      <c r="Q67" s="68">
        <f>[1]!srLETt2E(P$6,P67,0,1)</f>
        <v>31.215028474043716</v>
      </c>
      <c r="R67" s="60">
        <f>[1]!srE2Rng(P$6,Q67)</f>
        <v>464.33729154424657</v>
      </c>
      <c r="S67" s="81">
        <f t="shared" si="20"/>
        <v>-438.52729154424657</v>
      </c>
      <c r="T67" s="81">
        <f>[1]!srE2Rng(P$5,Q67)</f>
        <v>409.30753486754617</v>
      </c>
      <c r="U67" s="81">
        <f t="shared" si="11"/>
        <v>-386.51753486754615</v>
      </c>
      <c r="V67" s="61">
        <f>[1]!srE2LETe(P$6,Q67,0)</f>
        <v>16.391750432721313</v>
      </c>
      <c r="W67" s="29">
        <f>[1]!srE2LETn(P$6,Q67,0)</f>
        <v>7.5855672786725257E-3</v>
      </c>
      <c r="X67" s="52"/>
      <c r="Y67" s="149">
        <f t="shared" si="21"/>
        <v>27.737159999999975</v>
      </c>
      <c r="Z67" s="68">
        <f>[1]!srLETt2E(Y$6,Y67,0,1)</f>
        <v>44.40872759523598</v>
      </c>
      <c r="AA67" s="60">
        <f>[1]!srE2Rng(Y$6,Z67)</f>
        <v>619.45411661637434</v>
      </c>
      <c r="AB67" s="81">
        <f t="shared" si="22"/>
        <v>-577.91411661637437</v>
      </c>
      <c r="AC67" s="81">
        <f>[1]!srE2Rng(Y$5,Z67)</f>
        <v>546.5024140952022</v>
      </c>
      <c r="AD67" s="81">
        <f t="shared" si="13"/>
        <v>-509.91241409520217</v>
      </c>
      <c r="AE67" s="61">
        <f>[1]!srE2LETe(Y$6,Z67,0)</f>
        <v>27.72518770888086</v>
      </c>
      <c r="AF67" s="29">
        <f>[1]!srE2LETn(Y$6,Z67,0)</f>
        <v>1.1972291119114815E-2</v>
      </c>
      <c r="AG67" s="52"/>
      <c r="AH67" s="149">
        <f t="shared" si="23"/>
        <v>37.74647999999997</v>
      </c>
      <c r="AI67" s="68">
        <f>[1]!srLETt2E(AH$6,AH67,0,1)</f>
        <v>75.12322401311225</v>
      </c>
      <c r="AJ67" s="60">
        <f>[1]!srE2Rng(AH$6,AI67)</f>
        <v>1177.9202643641424</v>
      </c>
      <c r="AK67" s="81">
        <f t="shared" si="24"/>
        <v>-1126.2702643641423</v>
      </c>
      <c r="AL67" s="81">
        <f>[1]!srE2Rng(AH$5,AI67)</f>
        <v>1039.8231361262144</v>
      </c>
      <c r="AM67" s="81">
        <f t="shared" si="15"/>
        <v>-994.25313612621437</v>
      </c>
      <c r="AN67" s="61">
        <f>[1]!srE2LETe(AH$6,AI67,0)</f>
        <v>37.731087304125332</v>
      </c>
      <c r="AO67" s="29">
        <f>[1]!srE2LETn(AH$6,AI67,0)</f>
        <v>1.5392695874640212E-2</v>
      </c>
      <c r="AP67" s="52"/>
    </row>
    <row r="68" spans="2:42">
      <c r="B68" s="7"/>
      <c r="C68" s="7"/>
      <c r="D68" s="7"/>
      <c r="E68" s="7"/>
      <c r="F68" s="61">
        <f t="shared" si="27"/>
        <v>0.34999999999999964</v>
      </c>
      <c r="G68" s="149">
        <f t="shared" si="17"/>
        <v>6.5333379999999934</v>
      </c>
      <c r="H68" s="68">
        <f>[1]!srLETt2E(G$6,G68,0,1)</f>
        <v>18.906764117525562</v>
      </c>
      <c r="I68" s="61">
        <f>[1]!srE2Rng(G$6,H68)</f>
        <v>328.00725278269135</v>
      </c>
      <c r="J68" s="81">
        <f t="shared" si="18"/>
        <v>-314.30725278269136</v>
      </c>
      <c r="K68" s="81">
        <f>[1]!srE2Rng(G$5,H68)</f>
        <v>288.69628401836212</v>
      </c>
      <c r="L68" s="81">
        <f t="shared" si="16"/>
        <v>-276.5362840183621</v>
      </c>
      <c r="M68" s="61">
        <f>[1]!srE2LETe(G$6,H68,0)</f>
        <v>6.5301901400289166</v>
      </c>
      <c r="N68" s="29">
        <f>[1]!srE2LETn(G$6,H68,0)</f>
        <v>3.1478599710771452E-3</v>
      </c>
      <c r="O68" s="52"/>
      <c r="P68" s="149">
        <f t="shared" si="19"/>
        <v>14.349418999999985</v>
      </c>
      <c r="Q68" s="68">
        <f>[1]!srLETt2E(P$6,P68,0,1)</f>
        <v>38.220784595537367</v>
      </c>
      <c r="R68" s="60">
        <f>[1]!srE2Rng(P$6,Q68)</f>
        <v>629.88946411365691</v>
      </c>
      <c r="S68" s="81">
        <f t="shared" si="20"/>
        <v>-604.07946411365697</v>
      </c>
      <c r="T68" s="81">
        <f>[1]!srE2Rng(P$5,Q68)</f>
        <v>555.53668494639226</v>
      </c>
      <c r="U68" s="81">
        <f t="shared" si="11"/>
        <v>-532.74668494639229</v>
      </c>
      <c r="V68" s="61">
        <f>[1]!srE2LETe(P$6,Q68,0)</f>
        <v>14.343096773201568</v>
      </c>
      <c r="W68" s="29">
        <f>[1]!srE2LETn(P$6,Q68,0)</f>
        <v>6.3222267984173429E-3</v>
      </c>
      <c r="X68" s="52"/>
      <c r="Y68" s="149">
        <f t="shared" si="21"/>
        <v>24.270014999999976</v>
      </c>
      <c r="Z68" s="68">
        <f>[1]!srLETt2E(Y$6,Y68,0,1)</f>
        <v>54.721747458531276</v>
      </c>
      <c r="AA68" s="60">
        <f>[1]!srE2Rng(Y$6,Z68)</f>
        <v>847.30865718362691</v>
      </c>
      <c r="AB68" s="81">
        <f t="shared" si="22"/>
        <v>-805.76865718362694</v>
      </c>
      <c r="AC68" s="81">
        <f>[1]!srE2Rng(Y$5,Z68)</f>
        <v>747.8787153355446</v>
      </c>
      <c r="AD68" s="81">
        <f t="shared" si="13"/>
        <v>-711.28871533554457</v>
      </c>
      <c r="AE68" s="61">
        <f>[1]!srE2LETe(Y$6,Z68,0)</f>
        <v>24.260062431076175</v>
      </c>
      <c r="AF68" s="29">
        <f>[1]!srE2LETn(Y$6,Z68,0)</f>
        <v>9.9525689238013741E-3</v>
      </c>
      <c r="AG68" s="52"/>
      <c r="AH68" s="149">
        <f t="shared" si="23"/>
        <v>33.028169999999967</v>
      </c>
      <c r="AI68" s="68">
        <f>[1]!srLETt2E(AH$6,AH68,0,1)</f>
        <v>94.659316612975985</v>
      </c>
      <c r="AJ68" s="60">
        <f>[1]!srE2Rng(AH$6,AI68)</f>
        <v>1647.4645253220963</v>
      </c>
      <c r="AK68" s="81">
        <f t="shared" si="24"/>
        <v>-1595.8145253220962</v>
      </c>
      <c r="AL68" s="81">
        <f>[1]!srE2Rng(AH$5,AI68)</f>
        <v>1457.7462447307523</v>
      </c>
      <c r="AM68" s="81">
        <f t="shared" si="15"/>
        <v>-1412.1762447307524</v>
      </c>
      <c r="AN68" s="61">
        <f>[1]!srE2LETe(AH$6,AI68,0)</f>
        <v>33.015635773516166</v>
      </c>
      <c r="AO68" s="29">
        <f>[1]!srE2LETn(AH$6,AI68,0)</f>
        <v>1.2534226483801363E-2</v>
      </c>
      <c r="AP68" s="52"/>
    </row>
    <row r="69" spans="2:42">
      <c r="B69" s="7"/>
      <c r="C69" s="7"/>
      <c r="D69" s="7"/>
      <c r="E69" s="7"/>
      <c r="F69" s="61">
        <f t="shared" si="27"/>
        <v>0.29999999999999966</v>
      </c>
      <c r="G69" s="149">
        <f t="shared" si="17"/>
        <v>5.6000039999999931</v>
      </c>
      <c r="H69" s="68">
        <f>[1]!srLETt2E(G$6,G69,0,1)</f>
        <v>23.644972857422776</v>
      </c>
      <c r="I69" s="61">
        <f>[1]!srE2Rng(G$6,H69)</f>
        <v>463.64966129436374</v>
      </c>
      <c r="J69" s="81">
        <f t="shared" si="18"/>
        <v>-449.94966129436375</v>
      </c>
      <c r="K69" s="81">
        <f>[1]!srE2Rng(G$5,H69)</f>
        <v>408.36569976763394</v>
      </c>
      <c r="L69" s="81">
        <f t="shared" si="16"/>
        <v>-396.20569976763392</v>
      </c>
      <c r="M69" s="61">
        <f>[1]!srE2LETe(G$6,H69,0)</f>
        <v>5.597430375383448</v>
      </c>
      <c r="N69" s="29">
        <f>[1]!srE2LETn(G$6,H69,0)</f>
        <v>2.5736246165444445E-3</v>
      </c>
      <c r="O69" s="52"/>
      <c r="P69" s="149">
        <f t="shared" si="19"/>
        <v>12.299501999999986</v>
      </c>
      <c r="Q69" s="68">
        <f>[1]!srLETt2E(P$6,P69,0,1)</f>
        <v>47.9641359937971</v>
      </c>
      <c r="R69" s="60">
        <f>[1]!srE2Rng(P$6,Q69)</f>
        <v>896.70505284637761</v>
      </c>
      <c r="S69" s="81">
        <f t="shared" si="20"/>
        <v>-870.89505284637767</v>
      </c>
      <c r="T69" s="81">
        <f>[1]!srE2Rng(P$5,Q69)</f>
        <v>791.16844142756247</v>
      </c>
      <c r="U69" s="81">
        <f t="shared" si="11"/>
        <v>-768.37844142756251</v>
      </c>
      <c r="V69" s="61">
        <f>[1]!srE2LETe(P$6,Q69,0)</f>
        <v>12.294344146920404</v>
      </c>
      <c r="W69" s="29">
        <f>[1]!srE2LETn(P$6,Q69,0)</f>
        <v>5.1578530795818849E-3</v>
      </c>
      <c r="X69" s="52"/>
      <c r="Y69" s="149">
        <f t="shared" si="21"/>
        <v>20.802869999999977</v>
      </c>
      <c r="Z69" s="68">
        <f>[1]!srLETt2E(Y$6,Y69,0,1)</f>
        <v>69.069384113446347</v>
      </c>
      <c r="AA69" s="60">
        <f>[1]!srE2Rng(Y$6,Z69)</f>
        <v>1214.6033276247326</v>
      </c>
      <c r="AB69" s="81">
        <f t="shared" si="22"/>
        <v>-1173.0633276247327</v>
      </c>
      <c r="AC69" s="81">
        <f>[1]!srE2Rng(Y$5,Z69)</f>
        <v>1072.2601535652343</v>
      </c>
      <c r="AD69" s="81">
        <f t="shared" si="13"/>
        <v>-1035.6701535652344</v>
      </c>
      <c r="AE69" s="61">
        <f>[1]!srE2LETe(Y$6,Z69,0)</f>
        <v>20.794806228805367</v>
      </c>
      <c r="AF69" s="29">
        <f>[1]!srE2LETn(Y$6,Z69,0)</f>
        <v>8.0637711946104605E-3</v>
      </c>
      <c r="AG69" s="52"/>
      <c r="AH69" s="149">
        <f t="shared" si="23"/>
        <v>28.309859999999968</v>
      </c>
      <c r="AI69" s="68">
        <f>[1]!srLETt2E(AH$6,AH69,0,1)</f>
        <v>122.91146241756647</v>
      </c>
      <c r="AJ69" s="60">
        <f>[1]!srE2Rng(AH$6,AI69)</f>
        <v>2440.4608306316104</v>
      </c>
      <c r="AK69" s="81">
        <f t="shared" si="24"/>
        <v>-2388.8108306316103</v>
      </c>
      <c r="AL69" s="81">
        <f>[1]!srE2Rng(AH$5,AI69)</f>
        <v>2156.1896687063986</v>
      </c>
      <c r="AM69" s="81">
        <f t="shared" si="15"/>
        <v>-2110.6196687063984</v>
      </c>
      <c r="AN69" s="61">
        <f>[1]!srE2LETe(AH$6,AI69,0)</f>
        <v>28.299946635462454</v>
      </c>
      <c r="AO69" s="29">
        <f>[1]!srE2LETn(AH$6,AI69,0)</f>
        <v>9.9133645375129413E-3</v>
      </c>
      <c r="AP69" s="52"/>
    </row>
    <row r="70" spans="2:42">
      <c r="B70" s="7"/>
      <c r="C70" s="7"/>
      <c r="D70" s="7"/>
      <c r="E70" s="7"/>
      <c r="F70" s="61">
        <f t="shared" si="27"/>
        <v>0.24999999999999967</v>
      </c>
      <c r="G70" s="149">
        <f t="shared" si="17"/>
        <v>4.6666699999999937</v>
      </c>
      <c r="H70" s="68">
        <f>[1]!srLETt2E(G$6,G70,0,1)</f>
        <v>30.984408472377336</v>
      </c>
      <c r="I70" s="61">
        <f>[1]!srE2Rng(G$6,H70)</f>
        <v>712.62636936909985</v>
      </c>
      <c r="J70" s="81">
        <f t="shared" si="18"/>
        <v>-698.9263693690998</v>
      </c>
      <c r="K70" s="81">
        <f>[1]!srE2Rng(G$5,H70)</f>
        <v>628.17616133120316</v>
      </c>
      <c r="L70" s="81">
        <f t="shared" si="16"/>
        <v>-616.01616133120319</v>
      </c>
      <c r="M70" s="61">
        <f>[1]!srE2LETe(G$6,H70,0)</f>
        <v>4.6646527019280022</v>
      </c>
      <c r="N70" s="29">
        <f>[1]!srE2LETn(G$6,H70,0)</f>
        <v>2.0172980719910653E-3</v>
      </c>
      <c r="O70" s="52"/>
      <c r="P70" s="149">
        <f t="shared" si="19"/>
        <v>10.249584999999986</v>
      </c>
      <c r="Q70" s="68">
        <f>[1]!srLETt2E(P$6,P70,0,1)</f>
        <v>62.543691162597042</v>
      </c>
      <c r="R70" s="60">
        <f>[1]!srE2Rng(P$6,Q70)</f>
        <v>1366.5414242164236</v>
      </c>
      <c r="S70" s="81">
        <f t="shared" si="20"/>
        <v>-1340.7314242164236</v>
      </c>
      <c r="T70" s="81">
        <f>[1]!srE2Rng(P$5,Q70)</f>
        <v>1211.3212207569345</v>
      </c>
      <c r="U70" s="81">
        <f t="shared" si="11"/>
        <v>-1188.5312207569345</v>
      </c>
      <c r="V70" s="61">
        <f>[1]!srE2LETe(P$6,Q70,0)</f>
        <v>10.245516061700231</v>
      </c>
      <c r="W70" s="29">
        <f>[1]!srE2LETn(P$6,Q70,0)</f>
        <v>4.0689382997546103E-3</v>
      </c>
      <c r="X70" s="52"/>
      <c r="Y70" s="149">
        <f t="shared" si="21"/>
        <v>17.335724999999975</v>
      </c>
      <c r="Z70" s="68">
        <f>[1]!srLETt2E(Y$6,Y70,0,1)</f>
        <v>90.839752098756293</v>
      </c>
      <c r="AA70" s="60">
        <f>[1]!srE2Rng(Y$6,Z70)</f>
        <v>1867.8033464885993</v>
      </c>
      <c r="AB70" s="81">
        <f t="shared" si="22"/>
        <v>-1826.2633464885994</v>
      </c>
      <c r="AC70" s="81">
        <f>[1]!srE2Rng(Y$5,Z70)</f>
        <v>1648.0779281775244</v>
      </c>
      <c r="AD70" s="81">
        <f t="shared" si="13"/>
        <v>-1611.4879281775245</v>
      </c>
      <c r="AE70" s="61">
        <f>[1]!srE2LETe(Y$6,Z70,0)</f>
        <v>17.329427304653095</v>
      </c>
      <c r="AF70" s="29">
        <f>[1]!srE2LETn(Y$6,Z70,0)</f>
        <v>6.2976953468806187E-3</v>
      </c>
      <c r="AG70" s="52"/>
      <c r="AH70" s="149">
        <f t="shared" si="23"/>
        <v>23.59154999999997</v>
      </c>
      <c r="AI70" s="68">
        <f>[1]!srLETt2E(AH$6,AH70,0,1)</f>
        <v>167.61441655299262</v>
      </c>
      <c r="AJ70" s="60">
        <f>[1]!srE2Rng(AH$6,AI70)</f>
        <v>3915.6873712128768</v>
      </c>
      <c r="AK70" s="81">
        <f t="shared" si="24"/>
        <v>-3864.0373712128767</v>
      </c>
      <c r="AL70" s="81">
        <f>[1]!srE2Rng(AH$5,AI70)</f>
        <v>3465.2865699940858</v>
      </c>
      <c r="AM70" s="81">
        <f t="shared" si="15"/>
        <v>-3419.7165699940856</v>
      </c>
      <c r="AN70" s="61">
        <f>[1]!srE2LETe(AH$6,AI70,0)</f>
        <v>23.584064135867941</v>
      </c>
      <c r="AO70" s="29">
        <f>[1]!srE2LETn(AH$6,AI70,0)</f>
        <v>7.4858641320314735E-3</v>
      </c>
      <c r="AP70" s="52"/>
    </row>
    <row r="71" spans="2:42">
      <c r="B71" s="7"/>
      <c r="C71" s="7"/>
      <c r="D71" s="7"/>
      <c r="E71" s="7"/>
      <c r="F71" s="61">
        <f t="shared" si="27"/>
        <v>0.19999999999999968</v>
      </c>
      <c r="G71" s="149">
        <f t="shared" si="17"/>
        <v>3.7333359999999938</v>
      </c>
      <c r="H71" s="68">
        <f>[1]!srLETt2E(G$6,G71,0,1)</f>
        <v>42.231763855857032</v>
      </c>
      <c r="I71" s="61">
        <f>[1]!srE2Rng(G$6,H71)</f>
        <v>1178.1976096577093</v>
      </c>
      <c r="J71" s="81">
        <f t="shared" si="18"/>
        <v>-1164.4976096577093</v>
      </c>
      <c r="K71" s="81">
        <f>[1]!srE2Rng(G$5,H71)</f>
        <v>1039.4636842580642</v>
      </c>
      <c r="L71" s="81">
        <f t="shared" si="16"/>
        <v>-1027.3036842580641</v>
      </c>
      <c r="M71" s="61">
        <f>[1]!srE2LETe(G$6,H71,0)</f>
        <v>3.7318108799710932</v>
      </c>
      <c r="N71" s="29">
        <f>[1]!srE2LETn(G$6,H71,0)</f>
        <v>1.5251200289008609E-3</v>
      </c>
      <c r="O71" s="52"/>
      <c r="P71" s="149">
        <f t="shared" si="19"/>
        <v>8.1996679999999866</v>
      </c>
      <c r="Q71" s="68">
        <f>[1]!srLETt2E(P$6,P71,0,1)</f>
        <v>86.416825255224836</v>
      </c>
      <c r="R71" s="60">
        <f>[1]!srE2Rng(P$6,Q71)</f>
        <v>2327.27706036261</v>
      </c>
      <c r="S71" s="81">
        <f t="shared" si="20"/>
        <v>-2301.46706036261</v>
      </c>
      <c r="T71" s="81">
        <f>[1]!srE2Rng(P$5,Q71)</f>
        <v>2054.3263942906656</v>
      </c>
      <c r="U71" s="81">
        <f t="shared" si="11"/>
        <v>-2031.5363942906656</v>
      </c>
      <c r="V71" s="61">
        <f>[1]!srE2LETe(P$6,Q71,0)</f>
        <v>8.1966252087424181</v>
      </c>
      <c r="W71" s="29">
        <f>[1]!srE2LETn(P$6,Q71,0)</f>
        <v>3.0427912575677566E-3</v>
      </c>
      <c r="X71" s="52"/>
      <c r="Y71" s="149">
        <f t="shared" si="21"/>
        <v>13.868579999999978</v>
      </c>
      <c r="Z71" s="68">
        <f>[1]!srLETt2E(Y$6,Y71,0,1)</f>
        <v>127.63163264109211</v>
      </c>
      <c r="AA71" s="60">
        <f>[1]!srE2Rng(Y$6,Z71)</f>
        <v>3232.6864076734892</v>
      </c>
      <c r="AB71" s="81">
        <f t="shared" si="22"/>
        <v>-3191.1464076734892</v>
      </c>
      <c r="AC71" s="81">
        <f>[1]!srE2Rng(Y$5,Z71)</f>
        <v>2848.7913873285229</v>
      </c>
      <c r="AD71" s="81">
        <f t="shared" si="13"/>
        <v>-2812.2013873285227</v>
      </c>
      <c r="AE71" s="61">
        <f>[1]!srE2LETe(Y$6,Z71,0)</f>
        <v>13.863943470256713</v>
      </c>
      <c r="AF71" s="29">
        <f>[1]!srE2LETn(Y$6,Z71,0)</f>
        <v>4.6365297432663429E-3</v>
      </c>
      <c r="AG71" s="52"/>
      <c r="AH71" s="149">
        <f t="shared" si="23"/>
        <v>18.873239999999971</v>
      </c>
      <c r="AI71" s="68">
        <f>[1]!srLETt2E(AH$6,AH71,0,1)</f>
        <v>250.79810715378292</v>
      </c>
      <c r="AJ71" s="60">
        <f>[1]!srE2Rng(AH$6,AI71)</f>
        <v>7298.4044182635425</v>
      </c>
      <c r="AK71" s="81">
        <f t="shared" si="24"/>
        <v>-7246.7544182635429</v>
      </c>
      <c r="AL71" s="81">
        <f>[1]!srE2Rng(AH$5,AI71)</f>
        <v>6462.6309676404562</v>
      </c>
      <c r="AM71" s="81">
        <f t="shared" si="15"/>
        <v>-6417.0609676404565</v>
      </c>
      <c r="AN71" s="61">
        <f>[1]!srE2LETe(AH$6,AI71,0)</f>
        <v>18.868038944392229</v>
      </c>
      <c r="AO71" s="29">
        <f>[1]!srE2LETn(AH$6,AI71,0)</f>
        <v>5.2010556077425902E-3</v>
      </c>
      <c r="AP71" s="52"/>
    </row>
    <row r="72" spans="2:42">
      <c r="B72" s="7"/>
      <c r="C72" s="7"/>
      <c r="D72" s="7"/>
      <c r="E72" s="7"/>
      <c r="F72" s="61">
        <f t="shared" si="27"/>
        <v>0.14999999999999969</v>
      </c>
      <c r="G72" s="149">
        <f t="shared" si="17"/>
        <v>2.8000019999999943</v>
      </c>
      <c r="H72" s="68">
        <f>[1]!srLETt2E(G$6,G72,0,1)</f>
        <v>61.990213565295463</v>
      </c>
      <c r="I72" s="61">
        <f>[1]!srE2Rng(G$6,H72)</f>
        <v>2249.0049847699643</v>
      </c>
      <c r="J72" s="81">
        <f t="shared" si="18"/>
        <v>-2235.3049847699644</v>
      </c>
      <c r="K72" s="81">
        <f>[1]!srE2Rng(G$5,H72)</f>
        <v>1983.0832762476002</v>
      </c>
      <c r="L72" s="81">
        <f t="shared" si="16"/>
        <v>-1970.9232762476001</v>
      </c>
      <c r="M72" s="61">
        <f>[1]!srE2LETe(G$6,H72,0)</f>
        <v>2.7989232724562321</v>
      </c>
      <c r="N72" s="29">
        <f>[1]!srE2LETn(G$6,H72,0)</f>
        <v>1.0787275437621417E-3</v>
      </c>
      <c r="O72" s="52"/>
      <c r="P72" s="149">
        <f t="shared" si="19"/>
        <v>6.1497509999999869</v>
      </c>
      <c r="Q72" s="68">
        <f>[1]!srLETt2E(P$6,P72,0,1)</f>
        <v>131.03189196104199</v>
      </c>
      <c r="R72" s="60">
        <f>[1]!srE2Rng(P$6,Q72)</f>
        <v>4624.8088258038188</v>
      </c>
      <c r="S72" s="81">
        <f t="shared" si="20"/>
        <v>-4598.9988258038184</v>
      </c>
      <c r="T72" s="81">
        <f>[1]!srE2Rng(P$5,Q72)</f>
        <v>4084.2745118256171</v>
      </c>
      <c r="U72" s="81">
        <f t="shared" si="11"/>
        <v>-4061.4845118256171</v>
      </c>
      <c r="V72" s="61">
        <f>[1]!srE2LETe(P$6,Q72,0)</f>
        <v>6.1476690552700939</v>
      </c>
      <c r="W72" s="29">
        <f>[1]!srE2LETn(P$6,Q72,0)</f>
        <v>2.081944729893051E-3</v>
      </c>
      <c r="X72" s="52"/>
      <c r="Y72" s="149">
        <f t="shared" si="21"/>
        <v>10.401434999999978</v>
      </c>
      <c r="Z72" s="68">
        <f>[1]!srLETt2E(Y$6,Y72,0,1)</f>
        <v>202.07157848282384</v>
      </c>
      <c r="AA72" s="60">
        <f>[1]!srE2Rng(Y$6,Z72)</f>
        <v>6819.4607242098909</v>
      </c>
      <c r="AB72" s="81">
        <f t="shared" si="22"/>
        <v>-6777.920724209891</v>
      </c>
      <c r="AC72" s="81">
        <f>[1]!srE2Rng(Y$5,Z72)</f>
        <v>6029.1352029427189</v>
      </c>
      <c r="AD72" s="81">
        <f t="shared" si="13"/>
        <v>-5992.5452029427188</v>
      </c>
      <c r="AE72" s="61">
        <f>[1]!srE2LETe(Y$6,Z72,0)</f>
        <v>10.398372393664141</v>
      </c>
      <c r="AF72" s="29">
        <f>[1]!srE2LETn(Y$6,Z72,0)</f>
        <v>3.06260633583665E-3</v>
      </c>
      <c r="AG72" s="52"/>
      <c r="AH72" s="149">
        <f t="shared" si="23"/>
        <v>14.154929999999972</v>
      </c>
      <c r="AI72" s="68">
        <f>[1]!srLETt2E(AH$6,AH72,0,1)</f>
        <v>461.05899965054499</v>
      </c>
      <c r="AJ72" s="60">
        <f>[1]!srE2Rng(AH$6,AI72)</f>
        <v>18486.873108658783</v>
      </c>
      <c r="AK72" s="81">
        <f t="shared" si="24"/>
        <v>-18435.223108658782</v>
      </c>
      <c r="AL72" s="81">
        <f>[1]!srE2Rng(AH$5,AI72)</f>
        <v>16357.042683137117</v>
      </c>
      <c r="AM72" s="81">
        <f t="shared" si="15"/>
        <v>-16311.472683137117</v>
      </c>
      <c r="AN72" s="61">
        <f>[1]!srE2LETe(AH$6,AI72,0)</f>
        <v>14.151939869992873</v>
      </c>
      <c r="AO72" s="29">
        <f>[1]!srE2LETn(AH$6,AI72,0)</f>
        <v>2.9901300071000568E-3</v>
      </c>
      <c r="AP72" s="52"/>
    </row>
    <row r="73" spans="2:42">
      <c r="B73" s="7"/>
      <c r="C73" s="7"/>
      <c r="D73" s="7"/>
      <c r="E73" s="7"/>
      <c r="F73" s="61">
        <f t="shared" si="27"/>
        <v>9.9999999999999686E-2</v>
      </c>
      <c r="G73" s="149">
        <f t="shared" si="17"/>
        <v>1.866667999999994</v>
      </c>
      <c r="H73" s="68">
        <f>[1]!srLETt2E(G$6,G73,0,1)</f>
        <v>107.18670933523296</v>
      </c>
      <c r="I73" s="61">
        <f>[1]!srE2Rng(G$6,H73)</f>
        <v>5761.1772588414324</v>
      </c>
      <c r="J73" s="81">
        <f t="shared" si="18"/>
        <v>-5747.4772588414326</v>
      </c>
      <c r="K73" s="81">
        <f>[1]!srE2Rng(G$5,H73)</f>
        <v>5090.6861142868229</v>
      </c>
      <c r="L73" s="81">
        <f t="shared" si="16"/>
        <v>-5078.526114286823</v>
      </c>
      <c r="M73" s="61">
        <f>[1]!srE2LETe(G$6,H73,0)</f>
        <v>1.866010120509018</v>
      </c>
      <c r="N73" s="29">
        <f>[1]!srE2LETn(G$6,H73,0)</f>
        <v>6.5787949097587681E-4</v>
      </c>
      <c r="O73" s="52"/>
      <c r="P73" s="149">
        <f t="shared" si="19"/>
        <v>4.0998339999999871</v>
      </c>
      <c r="Q73" s="68">
        <f>[1]!srLETt2E(P$6,P73,0,1)</f>
        <v>249.2375076807572</v>
      </c>
      <c r="R73" s="60">
        <f>[1]!srE2Rng(P$6,Q73)</f>
        <v>13462.107683894623</v>
      </c>
      <c r="S73" s="81">
        <f t="shared" si="20"/>
        <v>-13436.297683894623</v>
      </c>
      <c r="T73" s="81">
        <f>[1]!srE2Rng(P$5,Q73)</f>
        <v>11909.793606472589</v>
      </c>
      <c r="U73" s="81">
        <f t="shared" si="11"/>
        <v>-11887.003606472588</v>
      </c>
      <c r="V73" s="61">
        <f>[1]!srE2LETe(P$6,Q73,0)</f>
        <v>4.0986710487717302</v>
      </c>
      <c r="W73" s="29">
        <f>[1]!srE2LETn(P$6,Q73,0)</f>
        <v>1.1629512282569667E-3</v>
      </c>
      <c r="X73" s="52"/>
      <c r="Y73" s="149">
        <f t="shared" si="21"/>
        <v>6.9342899999999785</v>
      </c>
      <c r="Z73" s="68">
        <f>[1]!srLETt2E(Y$6,Y73,0,1)</f>
        <v>435.35243201778923</v>
      </c>
      <c r="AA73" s="60">
        <f>[1]!srE2Rng(Y$6,Z73)</f>
        <v>23139.243036335869</v>
      </c>
      <c r="AB73" s="81">
        <f t="shared" si="22"/>
        <v>-23097.703036335868</v>
      </c>
      <c r="AC73" s="81">
        <f>[1]!srE2Rng(Y$5,Z73)</f>
        <v>20476.586564491496</v>
      </c>
      <c r="AD73" s="81">
        <f t="shared" si="13"/>
        <v>-20439.996564491496</v>
      </c>
      <c r="AE73" s="61">
        <f>[1]!srE2LETe(Y$6,Z73,0)</f>
        <v>6.9327676898088164</v>
      </c>
      <c r="AF73" s="29">
        <f>[1]!srE2LETn(Y$6,Z73,0)</f>
        <v>1.5223101911623742E-3</v>
      </c>
      <c r="AG73" s="52"/>
      <c r="AH73" s="149"/>
      <c r="AI73" s="68"/>
      <c r="AJ73" s="60"/>
      <c r="AK73" s="81"/>
      <c r="AL73" s="78"/>
      <c r="AM73" s="81"/>
      <c r="AN73" s="61"/>
      <c r="AO73" s="29"/>
      <c r="AP73" s="52"/>
    </row>
    <row r="74" spans="2:42">
      <c r="B74" s="7"/>
      <c r="C74" s="7"/>
      <c r="D74" s="7"/>
      <c r="E74" s="7"/>
      <c r="F74" s="61"/>
      <c r="G74" s="151"/>
      <c r="H74" s="69"/>
      <c r="I74" s="71"/>
      <c r="J74" s="79"/>
      <c r="K74" s="79"/>
      <c r="L74" s="79"/>
      <c r="M74" s="71"/>
      <c r="N74" s="72"/>
      <c r="O74" s="54"/>
      <c r="P74" s="151"/>
      <c r="Q74" s="69"/>
      <c r="R74" s="51"/>
      <c r="S74" s="79"/>
      <c r="T74" s="79"/>
      <c r="U74" s="79"/>
      <c r="V74" s="71"/>
      <c r="W74" s="72"/>
      <c r="X74" s="54"/>
      <c r="Y74" s="151"/>
      <c r="Z74" s="69"/>
      <c r="AA74" s="51"/>
      <c r="AB74" s="79"/>
      <c r="AC74" s="79"/>
      <c r="AD74" s="79"/>
      <c r="AE74" s="71"/>
      <c r="AF74" s="72"/>
      <c r="AG74" s="54"/>
      <c r="AH74" s="151"/>
      <c r="AI74" s="69"/>
      <c r="AJ74" s="51"/>
      <c r="AK74" s="79"/>
      <c r="AL74" s="79"/>
      <c r="AM74" s="79"/>
      <c r="AN74" s="71"/>
      <c r="AO74" s="72"/>
      <c r="AP74" s="54"/>
    </row>
    <row r="75" spans="2:42">
      <c r="F75" s="61"/>
      <c r="G75" s="61"/>
      <c r="H75" s="57"/>
      <c r="I75" s="62"/>
      <c r="J75" s="78"/>
      <c r="K75" s="78"/>
      <c r="L75" s="78"/>
      <c r="M75" s="61"/>
      <c r="N75" s="61"/>
      <c r="O75" s="55"/>
      <c r="P75" s="61"/>
      <c r="Q75" s="57"/>
      <c r="R75" s="60"/>
      <c r="S75" s="78"/>
      <c r="T75" s="78"/>
      <c r="U75" s="78"/>
      <c r="V75" s="61"/>
      <c r="W75" s="61"/>
      <c r="X75" s="55"/>
      <c r="Y75" s="61"/>
      <c r="Z75" s="57"/>
      <c r="AA75" s="60"/>
      <c r="AB75" s="78"/>
      <c r="AC75" s="78"/>
      <c r="AD75" s="78"/>
      <c r="AE75" s="61"/>
      <c r="AF75" s="61"/>
      <c r="AG75" s="55"/>
      <c r="AH75" s="61"/>
      <c r="AI75" s="57"/>
      <c r="AJ75" s="60"/>
      <c r="AK75" s="78"/>
      <c r="AL75" s="78"/>
      <c r="AM75" s="78"/>
      <c r="AN75" s="61"/>
      <c r="AO75" s="61"/>
      <c r="AP75" s="55"/>
    </row>
    <row r="76" spans="2:42" s="34" customFormat="1" ht="12">
      <c r="I76" s="36"/>
      <c r="J76" s="76"/>
      <c r="K76" s="76"/>
      <c r="L76" s="76"/>
      <c r="M76" s="35"/>
      <c r="N76" s="35"/>
      <c r="O76" s="35"/>
      <c r="R76" s="36"/>
      <c r="S76" s="76"/>
      <c r="T76" s="76"/>
      <c r="U76" s="76"/>
      <c r="V76" s="35"/>
      <c r="W76" s="35"/>
      <c r="X76" s="35"/>
      <c r="AA76" s="36"/>
      <c r="AB76" s="76"/>
      <c r="AC76" s="76"/>
      <c r="AD76" s="76"/>
      <c r="AE76" s="35"/>
      <c r="AF76" s="35"/>
      <c r="AG76" s="35"/>
      <c r="AJ76" s="36"/>
      <c r="AK76" s="76"/>
      <c r="AL76" s="76"/>
      <c r="AM76" s="76"/>
      <c r="AN76" s="35"/>
      <c r="AO76" s="35"/>
      <c r="AP76" s="35"/>
    </row>
    <row r="77" spans="2:42" s="32" customFormat="1" ht="18.75">
      <c r="F77" s="33" t="str">
        <f>$F$2</f>
        <v>Bragg Peak 幅 in Si</v>
      </c>
      <c r="J77" s="77"/>
      <c r="K77" s="77"/>
      <c r="L77" s="77"/>
      <c r="M77" s="39"/>
      <c r="N77" s="38"/>
      <c r="O77" s="38"/>
      <c r="R77" s="33"/>
      <c r="S77" s="77"/>
      <c r="T77" s="77"/>
      <c r="U77" s="77"/>
      <c r="V77" s="39"/>
      <c r="W77" s="38"/>
      <c r="X77" s="38"/>
      <c r="AA77" s="33"/>
      <c r="AB77" s="77"/>
      <c r="AC77" s="77"/>
      <c r="AD77" s="77"/>
      <c r="AE77" s="39"/>
      <c r="AF77" s="38"/>
      <c r="AG77" s="38"/>
      <c r="AJ77" s="33"/>
      <c r="AK77" s="77"/>
      <c r="AL77" s="77"/>
      <c r="AM77" s="77"/>
      <c r="AN77" s="39"/>
      <c r="AO77" s="38"/>
      <c r="AP77" s="38"/>
    </row>
    <row r="78" spans="2:42">
      <c r="O78" s="7"/>
      <c r="X78" s="7"/>
      <c r="AG78" s="7"/>
      <c r="AP78" s="7"/>
    </row>
    <row r="79" spans="2:42">
      <c r="B79" s="45" t="s">
        <v>9</v>
      </c>
      <c r="C79" s="47" t="str">
        <f>"LETt wid. in "&amp;$C$6</f>
        <v>LETt wid. in Si</v>
      </c>
      <c r="F79" s="61"/>
      <c r="G79" s="61"/>
      <c r="H79" s="56"/>
      <c r="I79" s="62"/>
      <c r="J79" s="78"/>
      <c r="K79" s="78"/>
      <c r="L79" s="78"/>
      <c r="M79" s="52"/>
      <c r="N79" s="52"/>
      <c r="O79" s="7"/>
      <c r="P79" s="61"/>
      <c r="Q79" s="56"/>
      <c r="R79" s="60"/>
      <c r="S79" s="78"/>
      <c r="T79" s="78"/>
      <c r="U79" s="78"/>
      <c r="V79" s="52"/>
      <c r="W79" s="52"/>
      <c r="X79" s="7"/>
      <c r="Y79" s="61"/>
      <c r="Z79" s="56"/>
      <c r="AA79" s="60"/>
      <c r="AB79" s="78"/>
      <c r="AC79" s="78"/>
      <c r="AD79" s="78"/>
      <c r="AE79" s="52"/>
      <c r="AF79" s="52"/>
      <c r="AG79" s="7"/>
      <c r="AH79" s="61"/>
      <c r="AI79" s="56"/>
      <c r="AJ79" s="60"/>
      <c r="AK79" s="78"/>
      <c r="AL79" s="78"/>
      <c r="AM79" s="78"/>
      <c r="AN79" s="52"/>
      <c r="AO79" s="52"/>
      <c r="AP79" s="7"/>
    </row>
    <row r="80" spans="2:42">
      <c r="B80" s="45" t="s">
        <v>11</v>
      </c>
      <c r="C80" s="47" t="s">
        <v>52</v>
      </c>
      <c r="F80" s="61"/>
      <c r="G80" s="61"/>
      <c r="H80" s="56"/>
      <c r="I80" s="62"/>
      <c r="J80" s="78"/>
      <c r="K80" s="78"/>
      <c r="L80" s="78"/>
      <c r="M80" s="52"/>
      <c r="N80" s="52"/>
      <c r="O80" s="7"/>
      <c r="P80" s="61"/>
      <c r="Q80" s="56"/>
      <c r="R80" s="60"/>
      <c r="S80" s="78"/>
      <c r="T80" s="78"/>
      <c r="U80" s="78"/>
      <c r="V80" s="52"/>
      <c r="W80" s="52"/>
      <c r="X80" s="7"/>
      <c r="Y80" s="61"/>
      <c r="Z80" s="56"/>
      <c r="AA80" s="60"/>
      <c r="AB80" s="78"/>
      <c r="AC80" s="78"/>
      <c r="AD80" s="78"/>
      <c r="AE80" s="52"/>
      <c r="AF80" s="52"/>
      <c r="AG80" s="7"/>
      <c r="AH80" s="61"/>
      <c r="AI80" s="56"/>
      <c r="AJ80" s="60"/>
      <c r="AK80" s="78"/>
      <c r="AL80" s="78"/>
      <c r="AM80" s="78"/>
      <c r="AN80" s="52"/>
      <c r="AO80" s="52"/>
      <c r="AP80" s="7"/>
    </row>
    <row r="81" spans="2:42">
      <c r="B81" s="45" t="s">
        <v>12</v>
      </c>
      <c r="C81" s="47" t="str">
        <f>"LETnucl  in "&amp;$C$6</f>
        <v>LETnucl  in Si</v>
      </c>
      <c r="F81" s="61"/>
      <c r="G81" s="61"/>
      <c r="H81" s="56"/>
      <c r="I81" s="62"/>
      <c r="J81" s="78"/>
      <c r="K81" s="78"/>
      <c r="L81" s="78"/>
      <c r="M81" s="52"/>
      <c r="N81" s="52"/>
      <c r="O81" s="7"/>
      <c r="P81" s="61"/>
      <c r="Q81" s="56"/>
      <c r="R81" s="60"/>
      <c r="S81" s="78"/>
      <c r="T81" s="78"/>
      <c r="U81" s="78"/>
      <c r="V81" s="52"/>
      <c r="W81" s="52"/>
      <c r="X81" s="7"/>
      <c r="Y81" s="61"/>
      <c r="Z81" s="56"/>
      <c r="AA81" s="60"/>
      <c r="AB81" s="78"/>
      <c r="AC81" s="78"/>
      <c r="AD81" s="78"/>
      <c r="AE81" s="52"/>
      <c r="AF81" s="52"/>
      <c r="AG81" s="7"/>
      <c r="AH81" s="61"/>
      <c r="AI81" s="56"/>
      <c r="AJ81" s="60"/>
      <c r="AK81" s="78"/>
      <c r="AL81" s="78"/>
      <c r="AM81" s="78"/>
      <c r="AN81" s="52"/>
      <c r="AO81" s="52"/>
      <c r="AP81" s="7"/>
    </row>
    <row r="82" spans="2:42">
      <c r="F82" s="61"/>
      <c r="G82" s="61"/>
      <c r="H82" s="56"/>
      <c r="I82" s="62"/>
      <c r="J82" s="78"/>
      <c r="K82" s="78"/>
      <c r="L82" s="78"/>
      <c r="M82" s="52"/>
      <c r="N82" s="52"/>
      <c r="O82" s="7"/>
      <c r="P82" s="61"/>
      <c r="Q82" s="56"/>
      <c r="R82" s="60"/>
      <c r="S82" s="78"/>
      <c r="T82" s="78"/>
      <c r="U82" s="78"/>
      <c r="V82" s="52"/>
      <c r="W82" s="52"/>
      <c r="X82" s="7"/>
      <c r="Y82" s="61"/>
      <c r="Z82" s="56"/>
      <c r="AA82" s="60"/>
      <c r="AB82" s="78"/>
      <c r="AC82" s="78"/>
      <c r="AD82" s="78"/>
      <c r="AE82" s="52"/>
      <c r="AF82" s="52"/>
      <c r="AG82" s="7"/>
      <c r="AH82" s="61"/>
      <c r="AI82" s="56"/>
      <c r="AJ82" s="60"/>
      <c r="AK82" s="78"/>
      <c r="AL82" s="78"/>
      <c r="AM82" s="78"/>
      <c r="AN82" s="52"/>
      <c r="AO82" s="52"/>
      <c r="AP82" s="7"/>
    </row>
    <row r="83" spans="2:42">
      <c r="F83" s="61"/>
      <c r="I83" s="7"/>
      <c r="J83" s="80"/>
      <c r="K83" s="80"/>
      <c r="L83" s="80"/>
      <c r="M83" s="7"/>
      <c r="N83" s="7"/>
      <c r="O83" s="7"/>
      <c r="R83" s="7"/>
      <c r="S83" s="80"/>
      <c r="T83" s="80"/>
      <c r="U83" s="80"/>
      <c r="V83" s="7"/>
      <c r="W83" s="7"/>
      <c r="X83" s="7"/>
      <c r="AA83" s="7"/>
      <c r="AB83" s="80"/>
      <c r="AC83" s="80"/>
      <c r="AD83" s="80"/>
      <c r="AE83" s="7"/>
      <c r="AF83" s="7"/>
      <c r="AG83" s="7"/>
      <c r="AJ83" s="7"/>
      <c r="AK83" s="80"/>
      <c r="AL83" s="80"/>
      <c r="AM83" s="80"/>
      <c r="AN83" s="7"/>
      <c r="AO83" s="7"/>
      <c r="AP83" s="7"/>
    </row>
    <row r="84" spans="2:42">
      <c r="I84" s="7"/>
      <c r="J84" s="80"/>
      <c r="K84" s="80"/>
      <c r="L84" s="80"/>
      <c r="M84" s="7"/>
      <c r="N84" s="7"/>
      <c r="O84" s="7"/>
      <c r="R84" s="7"/>
      <c r="S84" s="80"/>
      <c r="T84" s="80"/>
      <c r="U84" s="80"/>
      <c r="V84" s="7"/>
      <c r="W84" s="7"/>
      <c r="X84" s="7"/>
      <c r="AA84" s="7"/>
      <c r="AB84" s="80"/>
      <c r="AC84" s="80"/>
      <c r="AD84" s="80"/>
      <c r="AE84" s="7"/>
      <c r="AF84" s="7"/>
      <c r="AG84" s="7"/>
      <c r="AJ84" s="7"/>
      <c r="AK84" s="80"/>
      <c r="AL84" s="80"/>
      <c r="AM84" s="80"/>
      <c r="AN84" s="7"/>
      <c r="AO84" s="7"/>
      <c r="AP84" s="7"/>
    </row>
    <row r="85" spans="2:42">
      <c r="B85" s="45" t="s">
        <v>49</v>
      </c>
      <c r="C85" s="47" t="str">
        <f>"Thick [μm] "&amp;$C$6</f>
        <v>Thick [μm] Si</v>
      </c>
      <c r="I85" s="7"/>
      <c r="J85" s="80"/>
      <c r="K85" s="80"/>
      <c r="L85" s="80"/>
      <c r="M85" s="7"/>
      <c r="N85" s="7"/>
      <c r="O85" s="7"/>
      <c r="R85" s="7"/>
      <c r="S85" s="80"/>
      <c r="T85" s="80"/>
      <c r="U85" s="80"/>
      <c r="V85" s="7"/>
      <c r="W85" s="7"/>
      <c r="X85" s="7"/>
      <c r="AA85" s="7"/>
      <c r="AB85" s="80"/>
      <c r="AC85" s="80"/>
      <c r="AD85" s="80"/>
      <c r="AE85" s="7"/>
      <c r="AF85" s="7"/>
      <c r="AG85" s="7"/>
      <c r="AJ85" s="7"/>
      <c r="AK85" s="80"/>
      <c r="AL85" s="80"/>
      <c r="AM85" s="80"/>
      <c r="AN85" s="7"/>
      <c r="AO85" s="7"/>
      <c r="AP85" s="7"/>
    </row>
    <row r="86" spans="2:42">
      <c r="B86" s="45" t="s">
        <v>50</v>
      </c>
      <c r="C86" s="47" t="str">
        <f>$C$5&amp;" EDeg Thick [μm] "</f>
        <v xml:space="preserve">Al EDeg Thick [μm] </v>
      </c>
      <c r="I86" s="7"/>
      <c r="J86" s="80"/>
      <c r="K86" s="80"/>
      <c r="L86" s="80"/>
      <c r="M86" s="7"/>
      <c r="N86" s="7"/>
      <c r="O86" s="7"/>
      <c r="R86" s="7"/>
      <c r="S86" s="80"/>
      <c r="T86" s="80"/>
      <c r="U86" s="80"/>
      <c r="V86" s="7"/>
      <c r="W86" s="7"/>
      <c r="X86" s="7"/>
      <c r="AA86" s="7"/>
      <c r="AB86" s="80"/>
      <c r="AC86" s="80"/>
      <c r="AD86" s="80"/>
      <c r="AE86" s="7"/>
      <c r="AF86" s="7"/>
      <c r="AG86" s="7"/>
      <c r="AJ86" s="7"/>
      <c r="AK86" s="80"/>
      <c r="AL86" s="80"/>
      <c r="AM86" s="80"/>
      <c r="AN86" s="7"/>
      <c r="AO86" s="7"/>
      <c r="AP86" s="7"/>
    </row>
    <row r="87" spans="2:42">
      <c r="B87" s="45" t="s">
        <v>51</v>
      </c>
      <c r="C87" s="47"/>
      <c r="I87" s="7"/>
      <c r="J87" s="80"/>
      <c r="K87" s="80"/>
      <c r="L87" s="80"/>
      <c r="M87" s="7"/>
      <c r="N87" s="7"/>
      <c r="O87" s="7"/>
      <c r="R87" s="7"/>
      <c r="S87" s="80"/>
      <c r="T87" s="80"/>
      <c r="U87" s="80"/>
      <c r="V87" s="7"/>
      <c r="W87" s="7"/>
      <c r="X87" s="7"/>
      <c r="AA87" s="7"/>
      <c r="AB87" s="80"/>
      <c r="AC87" s="80"/>
      <c r="AD87" s="80"/>
      <c r="AE87" s="7"/>
      <c r="AF87" s="7"/>
      <c r="AG87" s="7"/>
      <c r="AJ87" s="7"/>
      <c r="AK87" s="80"/>
      <c r="AL87" s="80"/>
      <c r="AM87" s="80"/>
      <c r="AN87" s="7"/>
      <c r="AO87" s="7"/>
      <c r="AP87" s="7"/>
    </row>
    <row r="88" spans="2:42">
      <c r="I88" s="7"/>
      <c r="J88" s="80"/>
      <c r="K88" s="80"/>
      <c r="L88" s="80"/>
      <c r="M88" s="7"/>
      <c r="N88" s="7"/>
      <c r="O88" s="7"/>
      <c r="R88" s="7"/>
      <c r="S88" s="80"/>
      <c r="T88" s="80"/>
      <c r="U88" s="80"/>
      <c r="V88" s="7"/>
      <c r="W88" s="7"/>
      <c r="X88" s="7"/>
      <c r="AA88" s="7"/>
      <c r="AB88" s="80"/>
      <c r="AC88" s="80"/>
      <c r="AD88" s="80"/>
      <c r="AE88" s="7"/>
      <c r="AF88" s="7"/>
      <c r="AG88" s="7"/>
      <c r="AJ88" s="7"/>
      <c r="AK88" s="80"/>
      <c r="AL88" s="80"/>
      <c r="AM88" s="80"/>
      <c r="AN88" s="7"/>
      <c r="AO88" s="7"/>
      <c r="AP88" s="7"/>
    </row>
    <row r="89" spans="2:42">
      <c r="I89" s="7"/>
      <c r="J89" s="80"/>
      <c r="K89" s="80"/>
      <c r="L89" s="80"/>
      <c r="M89" s="7"/>
      <c r="N89" s="7"/>
      <c r="O89" s="7"/>
      <c r="R89" s="7"/>
      <c r="S89" s="80"/>
      <c r="T89" s="80"/>
      <c r="U89" s="80"/>
      <c r="V89" s="7"/>
      <c r="W89" s="7"/>
      <c r="X89" s="7"/>
      <c r="AA89" s="7"/>
      <c r="AB89" s="80"/>
      <c r="AC89" s="80"/>
      <c r="AD89" s="80"/>
      <c r="AE89" s="7"/>
      <c r="AF89" s="7"/>
      <c r="AG89" s="7"/>
      <c r="AJ89" s="7"/>
      <c r="AK89" s="80"/>
      <c r="AL89" s="80"/>
      <c r="AM89" s="80"/>
      <c r="AN89" s="7"/>
      <c r="AO89" s="7"/>
      <c r="AP89" s="7"/>
    </row>
    <row r="90" spans="2:42">
      <c r="I90" s="7"/>
      <c r="J90" s="80"/>
      <c r="K90" s="80"/>
      <c r="L90" s="80"/>
      <c r="M90" s="7"/>
      <c r="N90" s="7"/>
      <c r="O90" s="7"/>
      <c r="R90" s="7"/>
      <c r="S90" s="80"/>
      <c r="T90" s="80"/>
      <c r="U90" s="80"/>
      <c r="V90" s="7"/>
      <c r="W90" s="7"/>
      <c r="X90" s="7"/>
      <c r="AA90" s="7"/>
      <c r="AB90" s="80"/>
      <c r="AC90" s="80"/>
      <c r="AD90" s="80"/>
      <c r="AE90" s="7"/>
      <c r="AF90" s="7"/>
      <c r="AG90" s="7"/>
      <c r="AJ90" s="7"/>
      <c r="AK90" s="80"/>
      <c r="AL90" s="80"/>
      <c r="AM90" s="80"/>
      <c r="AN90" s="7"/>
      <c r="AO90" s="7"/>
      <c r="AP90" s="7"/>
    </row>
    <row r="91" spans="2:42">
      <c r="I91" s="7"/>
      <c r="J91" s="80"/>
      <c r="K91" s="80"/>
      <c r="L91" s="80"/>
      <c r="M91" s="7"/>
      <c r="N91" s="7"/>
      <c r="O91" s="7"/>
      <c r="R91" s="7"/>
      <c r="S91" s="80"/>
      <c r="T91" s="80"/>
      <c r="U91" s="80"/>
      <c r="V91" s="7"/>
      <c r="W91" s="7"/>
      <c r="X91" s="7"/>
      <c r="AA91" s="7"/>
      <c r="AB91" s="80"/>
      <c r="AC91" s="80"/>
      <c r="AD91" s="80"/>
      <c r="AE91" s="7"/>
      <c r="AF91" s="7"/>
      <c r="AG91" s="7"/>
      <c r="AJ91" s="7"/>
      <c r="AK91" s="80"/>
      <c r="AL91" s="80"/>
      <c r="AM91" s="80"/>
      <c r="AN91" s="7"/>
      <c r="AO91" s="7"/>
      <c r="AP91" s="7"/>
    </row>
    <row r="92" spans="2:42">
      <c r="I92" s="7"/>
      <c r="J92" s="80"/>
      <c r="K92" s="80"/>
      <c r="L92" s="80"/>
      <c r="M92" s="7"/>
      <c r="N92" s="7"/>
      <c r="O92" s="7"/>
      <c r="R92" s="7"/>
      <c r="S92" s="80"/>
      <c r="T92" s="80"/>
      <c r="U92" s="80"/>
      <c r="V92" s="7"/>
      <c r="W92" s="7"/>
      <c r="X92" s="7"/>
      <c r="AA92" s="7"/>
      <c r="AB92" s="80"/>
      <c r="AC92" s="80"/>
      <c r="AD92" s="80"/>
      <c r="AE92" s="7"/>
      <c r="AF92" s="7"/>
      <c r="AG92" s="7"/>
      <c r="AJ92" s="7"/>
      <c r="AK92" s="80"/>
      <c r="AL92" s="80"/>
      <c r="AM92" s="80"/>
      <c r="AN92" s="7"/>
      <c r="AO92" s="7"/>
      <c r="AP92" s="7"/>
    </row>
    <row r="93" spans="2:42">
      <c r="I93" s="7"/>
      <c r="J93" s="80"/>
      <c r="K93" s="80"/>
      <c r="L93" s="80"/>
      <c r="M93" s="7"/>
      <c r="N93" s="7"/>
      <c r="O93" s="7"/>
      <c r="R93" s="7"/>
      <c r="S93" s="80"/>
      <c r="T93" s="80"/>
      <c r="U93" s="80"/>
      <c r="V93" s="7"/>
      <c r="W93" s="7"/>
      <c r="X93" s="7"/>
      <c r="AA93" s="7"/>
      <c r="AB93" s="80"/>
      <c r="AC93" s="80"/>
      <c r="AD93" s="80"/>
      <c r="AE93" s="7"/>
      <c r="AF93" s="7"/>
      <c r="AG93" s="7"/>
      <c r="AJ93" s="7"/>
      <c r="AK93" s="80"/>
      <c r="AL93" s="80"/>
      <c r="AM93" s="80"/>
      <c r="AN93" s="7"/>
      <c r="AO93" s="7"/>
      <c r="AP93" s="7"/>
    </row>
    <row r="94" spans="2:42">
      <c r="I94" s="7"/>
      <c r="J94" s="80"/>
      <c r="K94" s="80"/>
      <c r="L94" s="80"/>
      <c r="M94" s="7"/>
      <c r="N94" s="7"/>
      <c r="O94" s="7"/>
      <c r="R94" s="7"/>
      <c r="S94" s="80"/>
      <c r="T94" s="80"/>
      <c r="U94" s="80"/>
      <c r="V94" s="7"/>
      <c r="W94" s="7"/>
      <c r="X94" s="7"/>
      <c r="AA94" s="7"/>
      <c r="AB94" s="80"/>
      <c r="AC94" s="80"/>
      <c r="AD94" s="80"/>
      <c r="AE94" s="7"/>
      <c r="AF94" s="7"/>
      <c r="AG94" s="7"/>
      <c r="AJ94" s="7"/>
      <c r="AK94" s="80"/>
      <c r="AL94" s="80"/>
      <c r="AM94" s="80"/>
      <c r="AN94" s="7"/>
      <c r="AO94" s="7"/>
      <c r="AP94" s="7"/>
    </row>
    <row r="95" spans="2:42">
      <c r="I95" s="7"/>
      <c r="J95" s="80"/>
      <c r="K95" s="80"/>
      <c r="L95" s="80"/>
      <c r="M95" s="7"/>
      <c r="N95" s="7"/>
      <c r="O95" s="7"/>
      <c r="R95" s="7"/>
      <c r="S95" s="80"/>
      <c r="T95" s="80"/>
      <c r="U95" s="80"/>
      <c r="V95" s="7"/>
      <c r="W95" s="7"/>
      <c r="X95" s="7"/>
      <c r="AA95" s="7"/>
      <c r="AB95" s="80"/>
      <c r="AC95" s="80"/>
      <c r="AD95" s="80"/>
      <c r="AE95" s="7"/>
      <c r="AF95" s="7"/>
      <c r="AG95" s="7"/>
      <c r="AJ95" s="7"/>
      <c r="AK95" s="80"/>
      <c r="AL95" s="80"/>
      <c r="AM95" s="80"/>
      <c r="AN95" s="7"/>
      <c r="AO95" s="7"/>
      <c r="AP95" s="7"/>
    </row>
    <row r="96" spans="2:42">
      <c r="I96" s="7"/>
      <c r="J96" s="80"/>
      <c r="K96" s="80"/>
      <c r="L96" s="80"/>
      <c r="M96" s="7"/>
      <c r="N96" s="7"/>
      <c r="O96" s="7"/>
      <c r="R96" s="7"/>
      <c r="S96" s="80"/>
      <c r="T96" s="80"/>
      <c r="U96" s="80"/>
      <c r="V96" s="7"/>
      <c r="W96" s="7"/>
      <c r="X96" s="7"/>
      <c r="AA96" s="7"/>
      <c r="AB96" s="80"/>
      <c r="AC96" s="80"/>
      <c r="AD96" s="80"/>
      <c r="AE96" s="7"/>
      <c r="AF96" s="7"/>
      <c r="AG96" s="7"/>
      <c r="AJ96" s="7"/>
      <c r="AK96" s="80"/>
      <c r="AL96" s="80"/>
      <c r="AM96" s="80"/>
      <c r="AN96" s="7"/>
      <c r="AO96" s="7"/>
      <c r="AP96" s="7"/>
    </row>
  </sheetData>
  <phoneticPr fontId="18"/>
  <pageMargins left="0.23622047244094491" right="0.23622047244094491" top="0.74803149606299213" bottom="0.74803149606299213" header="0.31496062992125984" footer="0.31496062992125984"/>
  <pageSetup paperSize="8" scale="56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B1:AT96"/>
  <sheetViews>
    <sheetView view="pageBreakPreview" zoomScale="80" zoomScaleNormal="30" zoomScaleSheetLayoutView="80" workbookViewId="0">
      <pane ySplit="5760" topLeftCell="A79"/>
      <selection activeCell="B21" sqref="B21"/>
      <selection pane="bottomLeft" activeCell="C99" sqref="C99"/>
    </sheetView>
  </sheetViews>
  <sheetFormatPr defaultRowHeight="13.5"/>
  <cols>
    <col min="1" max="1" width="1.25" style="24" customWidth="1"/>
    <col min="2" max="2" width="6.25" style="24" customWidth="1"/>
    <col min="3" max="3" width="7.125" style="24" customWidth="1"/>
    <col min="4" max="4" width="3.875" style="24" customWidth="1"/>
    <col min="5" max="5" width="3.75" style="24" customWidth="1"/>
    <col min="6" max="6" width="5.875" style="24" customWidth="1"/>
    <col min="7" max="7" width="6.125" style="24" customWidth="1"/>
    <col min="8" max="8" width="6.5" style="24" customWidth="1"/>
    <col min="9" max="9" width="8.625" style="24" customWidth="1"/>
    <col min="10" max="10" width="6.75" style="24" customWidth="1"/>
    <col min="11" max="12" width="6.5" style="22" customWidth="1"/>
    <col min="13" max="13" width="6.625" style="22" customWidth="1"/>
    <col min="14" max="14" width="5.875" style="24" customWidth="1"/>
    <col min="15" max="15" width="5.25" style="24" customWidth="1"/>
    <col min="16" max="16" width="2.625" style="24" customWidth="1"/>
    <col min="17" max="17" width="6.125" style="24" customWidth="1"/>
    <col min="18" max="18" width="6.5" style="24" customWidth="1"/>
    <col min="19" max="19" width="9.625" style="24" customWidth="1"/>
    <col min="20" max="20" width="6.75" style="24" customWidth="1"/>
    <col min="21" max="22" width="6.5" style="22" customWidth="1"/>
    <col min="23" max="23" width="6.625" style="22" customWidth="1"/>
    <col min="24" max="24" width="5.875" style="24" customWidth="1"/>
    <col min="25" max="25" width="5.25" style="24" customWidth="1"/>
    <col min="26" max="26" width="2.625" style="24" customWidth="1"/>
    <col min="27" max="27" width="6.125" style="24" customWidth="1"/>
    <col min="28" max="28" width="6.5" style="24" customWidth="1"/>
    <col min="29" max="29" width="9.5" style="24" customWidth="1"/>
    <col min="30" max="30" width="6.75" style="24" customWidth="1"/>
    <col min="31" max="32" width="6.5" style="22" customWidth="1"/>
    <col min="33" max="33" width="6.625" style="22" customWidth="1"/>
    <col min="34" max="34" width="5.875" style="24" customWidth="1"/>
    <col min="35" max="35" width="5.25" style="24" customWidth="1"/>
    <col min="36" max="36" width="2.625" style="24" customWidth="1"/>
    <col min="37" max="37" width="7.25" style="24" customWidth="1"/>
    <col min="38" max="38" width="7.75" style="24" customWidth="1"/>
    <col min="39" max="39" width="9.625" style="24" customWidth="1"/>
    <col min="40" max="40" width="6.75" style="24" customWidth="1"/>
    <col min="41" max="42" width="6.5" style="22" customWidth="1"/>
    <col min="43" max="43" width="6.625" style="22" customWidth="1"/>
    <col min="44" max="44" width="5.875" style="24" customWidth="1"/>
    <col min="45" max="45" width="5.25" style="24" customWidth="1"/>
    <col min="46" max="46" width="2.625" style="24" customWidth="1"/>
    <col min="47" max="16384" width="9" style="24"/>
  </cols>
  <sheetData>
    <row r="1" spans="2:46" s="34" customFormat="1" ht="12">
      <c r="I1" s="36"/>
      <c r="J1" s="36"/>
      <c r="K1" s="76"/>
      <c r="L1" s="76"/>
      <c r="M1" s="76"/>
      <c r="N1" s="35"/>
      <c r="O1" s="35"/>
      <c r="P1" s="35"/>
      <c r="S1" s="36"/>
      <c r="T1" s="36"/>
      <c r="U1" s="76"/>
      <c r="V1" s="76"/>
      <c r="W1" s="76"/>
      <c r="X1" s="35"/>
      <c r="Y1" s="35"/>
      <c r="Z1" s="35"/>
      <c r="AC1" s="36"/>
      <c r="AD1" s="36"/>
      <c r="AE1" s="76"/>
      <c r="AF1" s="76"/>
      <c r="AG1" s="76"/>
      <c r="AH1" s="35"/>
      <c r="AI1" s="35"/>
      <c r="AJ1" s="35"/>
      <c r="AM1" s="36"/>
      <c r="AN1" s="36"/>
      <c r="AO1" s="76"/>
      <c r="AP1" s="76"/>
      <c r="AQ1" s="76"/>
      <c r="AR1" s="35"/>
      <c r="AS1" s="35"/>
      <c r="AT1" s="35"/>
    </row>
    <row r="2" spans="2:46" s="32" customFormat="1" ht="18.75">
      <c r="F2" s="33" t="s">
        <v>53</v>
      </c>
      <c r="J2" s="33"/>
      <c r="K2" s="77"/>
      <c r="L2" s="77"/>
      <c r="M2" s="77"/>
      <c r="N2" s="39"/>
      <c r="O2" s="38"/>
      <c r="P2" s="38"/>
      <c r="T2" s="33"/>
      <c r="U2" s="77"/>
      <c r="V2" s="77"/>
      <c r="W2" s="77"/>
      <c r="X2" s="39"/>
      <c r="Y2" s="38"/>
      <c r="Z2" s="38"/>
      <c r="AD2" s="33"/>
      <c r="AE2" s="77"/>
      <c r="AF2" s="77"/>
      <c r="AG2" s="77"/>
      <c r="AH2" s="39"/>
      <c r="AI2" s="38"/>
      <c r="AJ2" s="38"/>
      <c r="AN2" s="33"/>
      <c r="AO2" s="77"/>
      <c r="AP2" s="77"/>
      <c r="AQ2" s="77"/>
      <c r="AR2" s="39"/>
      <c r="AS2" s="38"/>
      <c r="AT2" s="38"/>
    </row>
    <row r="4" spans="2:46">
      <c r="F4" s="6" t="s">
        <v>16</v>
      </c>
      <c r="G4" s="59" t="s">
        <v>17</v>
      </c>
      <c r="H4" s="49"/>
      <c r="N4" s="53"/>
      <c r="Q4" s="59" t="s">
        <v>30</v>
      </c>
      <c r="R4" s="49"/>
      <c r="X4" s="53"/>
      <c r="AA4" s="59" t="s">
        <v>31</v>
      </c>
      <c r="AB4" s="49"/>
      <c r="AH4" s="53"/>
      <c r="AK4" s="59" t="s">
        <v>32</v>
      </c>
      <c r="AL4" s="49"/>
      <c r="AR4" s="53"/>
    </row>
    <row r="5" spans="2:46">
      <c r="B5" s="21" t="s">
        <v>34</v>
      </c>
      <c r="C5" s="87" t="s">
        <v>4</v>
      </c>
      <c r="D5" s="28"/>
      <c r="F5" s="6" t="s">
        <v>36</v>
      </c>
      <c r="G5" s="45" t="str">
        <f>"srim"&amp;G$4&amp;"_"&amp;$C5</f>
        <v>srim40Ar_Al</v>
      </c>
      <c r="H5" s="49"/>
      <c r="N5" s="53"/>
      <c r="Q5" s="45" t="str">
        <f>"srim"&amp;Q$4&amp;"_"&amp;$C5</f>
        <v>srim84Kr_Al</v>
      </c>
      <c r="R5" s="49"/>
      <c r="X5" s="53"/>
      <c r="AA5" s="45" t="str">
        <f>"srim"&amp;AA$4&amp;"_"&amp;$C5</f>
        <v>srim132Xe_Al</v>
      </c>
      <c r="AB5" s="49"/>
      <c r="AH5" s="53"/>
      <c r="AK5" s="45" t="str">
        <f>"srim"&amp;AK$4&amp;"_"&amp;$C5</f>
        <v>srim197Au_Al</v>
      </c>
      <c r="AL5" s="49"/>
      <c r="AR5" s="53"/>
    </row>
    <row r="6" spans="2:46">
      <c r="B6" s="85" t="s">
        <v>35</v>
      </c>
      <c r="C6" s="83" t="s">
        <v>20</v>
      </c>
      <c r="D6" s="1"/>
      <c r="F6" s="48" t="s">
        <v>19</v>
      </c>
      <c r="G6" s="45" t="str">
        <f>"srim"&amp;G$4&amp;"_"&amp;$C6</f>
        <v>srim40Ar_Air</v>
      </c>
      <c r="H6" s="23"/>
      <c r="Q6" s="45" t="str">
        <f>"srim"&amp;Q$4&amp;"_"&amp;$C6</f>
        <v>srim84Kr_Air</v>
      </c>
      <c r="R6" s="23"/>
      <c r="AA6" s="45" t="str">
        <f>"srim"&amp;AA$4&amp;"_"&amp;$C6</f>
        <v>srim132Xe_Air</v>
      </c>
      <c r="AB6" s="23"/>
      <c r="AK6" s="45" t="str">
        <f>"srim"&amp;AK$4&amp;"_"&amp;$C6</f>
        <v>srim197Au_Air</v>
      </c>
      <c r="AL6" s="49"/>
      <c r="AR6" s="53"/>
    </row>
    <row r="7" spans="2:46">
      <c r="B7" s="82" t="s">
        <v>5</v>
      </c>
      <c r="C7" s="5">
        <v>25</v>
      </c>
      <c r="D7" s="46" t="s">
        <v>6</v>
      </c>
      <c r="E7" s="23"/>
    </row>
    <row r="8" spans="2:46">
      <c r="B8" s="18" t="s">
        <v>7</v>
      </c>
      <c r="C8" s="74">
        <v>1013</v>
      </c>
      <c r="D8" s="2" t="s">
        <v>8</v>
      </c>
      <c r="E8" s="44"/>
      <c r="F8" s="23"/>
      <c r="G8" s="125" t="str">
        <f>"in "&amp;$C$6</f>
        <v>in Air</v>
      </c>
      <c r="H8" s="28"/>
      <c r="I8" s="26"/>
      <c r="J8" s="121" t="str">
        <f>"in "&amp;$C$6</f>
        <v>in Air</v>
      </c>
      <c r="K8" s="122"/>
      <c r="L8" s="122"/>
      <c r="M8" s="124"/>
      <c r="N8" s="121" t="str">
        <f>"in "&amp;$C$5</f>
        <v>in Al</v>
      </c>
      <c r="O8" s="28"/>
      <c r="P8" s="23"/>
      <c r="Q8" s="125" t="str">
        <f>"in "&amp;$C$6</f>
        <v>in Air</v>
      </c>
      <c r="R8" s="28"/>
      <c r="S8" s="26"/>
      <c r="T8" s="121" t="str">
        <f>"in "&amp;$C$6</f>
        <v>in Air</v>
      </c>
      <c r="U8" s="122"/>
      <c r="V8" s="122"/>
      <c r="W8" s="124"/>
      <c r="X8" s="121" t="str">
        <f>"in "&amp;$C$5</f>
        <v>in Al</v>
      </c>
      <c r="Y8" s="28"/>
      <c r="AA8" s="125" t="str">
        <f>"in "&amp;$C$6</f>
        <v>in Air</v>
      </c>
      <c r="AB8" s="28"/>
      <c r="AC8" s="26"/>
      <c r="AD8" s="121" t="str">
        <f>"in "&amp;$C$6</f>
        <v>in Air</v>
      </c>
      <c r="AE8" s="122"/>
      <c r="AF8" s="122"/>
      <c r="AG8" s="124"/>
      <c r="AH8" s="121" t="str">
        <f>"in "&amp;$C$5</f>
        <v>in Al</v>
      </c>
      <c r="AI8" s="28"/>
      <c r="AK8" s="125" t="str">
        <f>"in "&amp;$C$6</f>
        <v>in Air</v>
      </c>
      <c r="AL8" s="28"/>
      <c r="AM8" s="26"/>
      <c r="AN8" s="121" t="str">
        <f>"in "&amp;$C$6</f>
        <v>in Air</v>
      </c>
      <c r="AO8" s="122"/>
      <c r="AP8" s="122"/>
      <c r="AQ8" s="124"/>
      <c r="AR8" s="121" t="str">
        <f>"in "&amp;$C$5</f>
        <v>in Al</v>
      </c>
      <c r="AS8" s="28"/>
    </row>
    <row r="9" spans="2:46">
      <c r="B9" s="6" t="s">
        <v>10</v>
      </c>
      <c r="C9" s="73">
        <f>[1]!srThkStd(G6,$C$8*100,$C$7)</f>
        <v>0.98298732470598882</v>
      </c>
      <c r="E9" s="44"/>
      <c r="F9" s="127" t="s">
        <v>39</v>
      </c>
      <c r="G9" s="97" t="s">
        <v>27</v>
      </c>
      <c r="H9" s="12" t="s">
        <v>24</v>
      </c>
      <c r="I9" s="123" t="s">
        <v>26</v>
      </c>
      <c r="J9" s="129" t="s">
        <v>43</v>
      </c>
      <c r="K9" s="129" t="s">
        <v>44</v>
      </c>
      <c r="L9" s="135" t="s">
        <v>45</v>
      </c>
      <c r="M9" s="131" t="s">
        <v>43</v>
      </c>
      <c r="N9" s="129" t="s">
        <v>44</v>
      </c>
      <c r="O9" s="137" t="s">
        <v>45</v>
      </c>
      <c r="P9" s="23"/>
      <c r="Q9" s="97" t="s">
        <v>13</v>
      </c>
      <c r="R9" s="12" t="s">
        <v>24</v>
      </c>
      <c r="S9" s="123" t="s">
        <v>21</v>
      </c>
      <c r="T9" s="129" t="s">
        <v>43</v>
      </c>
      <c r="U9" s="129" t="s">
        <v>44</v>
      </c>
      <c r="V9" s="135" t="s">
        <v>45</v>
      </c>
      <c r="W9" s="131" t="s">
        <v>43</v>
      </c>
      <c r="X9" s="129" t="s">
        <v>44</v>
      </c>
      <c r="Y9" s="137" t="s">
        <v>45</v>
      </c>
      <c r="AA9" s="97" t="s">
        <v>13</v>
      </c>
      <c r="AB9" s="12" t="s">
        <v>24</v>
      </c>
      <c r="AC9" s="123" t="s">
        <v>21</v>
      </c>
      <c r="AD9" s="129" t="s">
        <v>43</v>
      </c>
      <c r="AE9" s="129" t="s">
        <v>44</v>
      </c>
      <c r="AF9" s="135" t="s">
        <v>45</v>
      </c>
      <c r="AG9" s="131" t="s">
        <v>43</v>
      </c>
      <c r="AH9" s="129" t="s">
        <v>44</v>
      </c>
      <c r="AI9" s="137" t="s">
        <v>45</v>
      </c>
      <c r="AK9" s="97" t="s">
        <v>13</v>
      </c>
      <c r="AL9" s="12" t="s">
        <v>24</v>
      </c>
      <c r="AM9" s="123" t="s">
        <v>21</v>
      </c>
      <c r="AN9" s="129" t="s">
        <v>43</v>
      </c>
      <c r="AO9" s="129" t="s">
        <v>44</v>
      </c>
      <c r="AP9" s="135" t="s">
        <v>45</v>
      </c>
      <c r="AQ9" s="131" t="s">
        <v>43</v>
      </c>
      <c r="AR9" s="129" t="s">
        <v>44</v>
      </c>
      <c r="AS9" s="137" t="s">
        <v>45</v>
      </c>
    </row>
    <row r="10" spans="2:46">
      <c r="B10" s="6"/>
      <c r="C10" s="73"/>
      <c r="E10" s="44"/>
      <c r="F10" s="128" t="s">
        <v>40</v>
      </c>
      <c r="G10" s="98"/>
      <c r="H10" s="99" t="s">
        <v>25</v>
      </c>
      <c r="I10" s="93" t="s">
        <v>1</v>
      </c>
      <c r="J10" s="130" t="s">
        <v>29</v>
      </c>
      <c r="K10" s="130" t="s">
        <v>1</v>
      </c>
      <c r="L10" s="136" t="s">
        <v>46</v>
      </c>
      <c r="M10" s="132" t="s">
        <v>0</v>
      </c>
      <c r="N10" s="130" t="s">
        <v>0</v>
      </c>
      <c r="O10" s="138" t="s">
        <v>0</v>
      </c>
      <c r="P10" s="23"/>
      <c r="Q10" s="98"/>
      <c r="R10" s="99" t="s">
        <v>25</v>
      </c>
      <c r="S10" s="93" t="s">
        <v>1</v>
      </c>
      <c r="T10" s="130" t="s">
        <v>1</v>
      </c>
      <c r="U10" s="130" t="s">
        <v>1</v>
      </c>
      <c r="V10" s="136" t="s">
        <v>46</v>
      </c>
      <c r="W10" s="132" t="s">
        <v>0</v>
      </c>
      <c r="X10" s="130" t="s">
        <v>0</v>
      </c>
      <c r="Y10" s="138" t="s">
        <v>0</v>
      </c>
      <c r="AA10" s="98"/>
      <c r="AB10" s="99" t="s">
        <v>25</v>
      </c>
      <c r="AC10" s="93" t="s">
        <v>1</v>
      </c>
      <c r="AD10" s="130" t="s">
        <v>1</v>
      </c>
      <c r="AE10" s="130" t="s">
        <v>1</v>
      </c>
      <c r="AF10" s="136" t="s">
        <v>46</v>
      </c>
      <c r="AG10" s="132" t="s">
        <v>0</v>
      </c>
      <c r="AH10" s="130" t="s">
        <v>0</v>
      </c>
      <c r="AI10" s="138" t="s">
        <v>0</v>
      </c>
      <c r="AK10" s="98"/>
      <c r="AL10" s="99" t="s">
        <v>25</v>
      </c>
      <c r="AM10" s="93" t="s">
        <v>1</v>
      </c>
      <c r="AN10" s="130" t="s">
        <v>1</v>
      </c>
      <c r="AO10" s="130" t="s">
        <v>1</v>
      </c>
      <c r="AP10" s="136" t="s">
        <v>46</v>
      </c>
      <c r="AQ10" s="132" t="s">
        <v>0</v>
      </c>
      <c r="AR10" s="130" t="s">
        <v>0</v>
      </c>
      <c r="AS10" s="138" t="s">
        <v>0</v>
      </c>
    </row>
    <row r="11" spans="2:46">
      <c r="B11" s="6"/>
      <c r="C11" s="73"/>
      <c r="E11" s="44"/>
      <c r="F11" s="6"/>
      <c r="G11" s="57">
        <f>[1]!srE2LETt(G$6,H11,0)</f>
        <v>2.2375539</v>
      </c>
      <c r="H11" s="126">
        <v>95</v>
      </c>
      <c r="I11" s="107">
        <f>[1]!srE2Rng(G$6,H11)/$C$9/1000</f>
        <v>8258.4991647049883</v>
      </c>
      <c r="J11" s="105"/>
      <c r="K11" s="105"/>
      <c r="L11" s="119"/>
      <c r="M11" s="106"/>
      <c r="N11" s="133"/>
      <c r="O11" s="8"/>
      <c r="Q11" s="57">
        <f>[1]!srE2LETt(Q$6,R11,0)</f>
        <v>10.459753240000001</v>
      </c>
      <c r="R11" s="126">
        <v>70</v>
      </c>
      <c r="S11" s="107">
        <f>[1]!srE2Rng(Q$6,R11)/$C$9/1000</f>
        <v>2895.6629739364721</v>
      </c>
      <c r="T11" s="105"/>
      <c r="U11" s="105"/>
      <c r="V11" s="119"/>
      <c r="W11" s="106"/>
      <c r="X11" s="133"/>
      <c r="Y11" s="8"/>
      <c r="AA11" s="57">
        <f>[1]!srE2LETt(AA$6,AB11,0)</f>
        <v>33.535782560000001</v>
      </c>
      <c r="AB11" s="126">
        <v>39</v>
      </c>
      <c r="AC11" s="107">
        <f>[1]!srE2Rng(AA$6,AB11)/$C$9/1000</f>
        <v>895.38424136166054</v>
      </c>
      <c r="AD11" s="105"/>
      <c r="AE11" s="105"/>
      <c r="AF11" s="119"/>
      <c r="AG11" s="106"/>
      <c r="AH11" s="133"/>
      <c r="AI11" s="8"/>
      <c r="AK11" s="57">
        <f>[1]!srE2LETt(AK$6,AL11,0)</f>
        <v>81.431153632000004</v>
      </c>
      <c r="AL11" s="126">
        <v>18.399999999999999</v>
      </c>
      <c r="AM11" s="107">
        <f>[1]!srE2Rng(AK$6,AL11)/$C$9/1000</f>
        <v>336.44849703318357</v>
      </c>
      <c r="AN11" s="105"/>
      <c r="AO11" s="105"/>
      <c r="AP11" s="119"/>
      <c r="AQ11" s="106"/>
      <c r="AR11" s="133"/>
      <c r="AS11" s="8"/>
    </row>
    <row r="12" spans="2:46">
      <c r="B12" s="6"/>
      <c r="C12" s="73"/>
      <c r="E12" s="44"/>
      <c r="F12" s="139" t="s">
        <v>38</v>
      </c>
      <c r="G12" s="57">
        <f>G48</f>
        <v>22.624451999999994</v>
      </c>
      <c r="H12" s="120">
        <f>H48</f>
        <v>1.5273879668049803</v>
      </c>
      <c r="I12" s="60">
        <f>J48</f>
        <v>26.860113256563594</v>
      </c>
      <c r="J12" s="106">
        <f>K31</f>
        <v>4.5471447519919739</v>
      </c>
      <c r="K12" s="106">
        <f>K48</f>
        <v>-11.773448731732973</v>
      </c>
      <c r="L12" s="119">
        <f>J12-K12</f>
        <v>16.320593483724949</v>
      </c>
      <c r="M12" s="106">
        <f>M31</f>
        <v>2.9331904365409782</v>
      </c>
      <c r="N12" s="134">
        <f>M48</f>
        <v>-6.7712947717842411</v>
      </c>
      <c r="O12" s="119">
        <f>M12-N12</f>
        <v>9.7044852083252202</v>
      </c>
      <c r="Q12" s="57">
        <f>Q48</f>
        <v>43.679519999999997</v>
      </c>
      <c r="R12" s="120">
        <f>R48</f>
        <v>4.7923863186749411</v>
      </c>
      <c r="S12" s="60">
        <f>T48</f>
        <v>83.002680010839086</v>
      </c>
      <c r="T12" s="106">
        <f>U31</f>
        <v>9.9635187882181633</v>
      </c>
      <c r="U12" s="106">
        <f>U48</f>
        <v>-55.545560959916742</v>
      </c>
      <c r="V12" s="119">
        <f>T12-U12</f>
        <v>65.509079748134909</v>
      </c>
      <c r="W12" s="106">
        <f>W31</f>
        <v>5.9630081880612771</v>
      </c>
      <c r="X12" s="134">
        <f>W48</f>
        <v>-28.422460445793334</v>
      </c>
      <c r="Y12" s="119">
        <f>W12-X12</f>
        <v>34.385468633854614</v>
      </c>
      <c r="AA12" s="57">
        <f>AA48</f>
        <v>70.132769999999994</v>
      </c>
      <c r="AB12" s="120">
        <f>AB48</f>
        <v>8.7479352088102651</v>
      </c>
      <c r="AC12" s="60">
        <f>AD48</f>
        <v>142.49297094836479</v>
      </c>
      <c r="AD12" s="106">
        <f>AE31</f>
        <v>36.235565268954559</v>
      </c>
      <c r="AE12" s="106">
        <f>AE48</f>
        <v>-79.470795134928721</v>
      </c>
      <c r="AF12" s="119">
        <f>AD12-AE12</f>
        <v>115.70636040388328</v>
      </c>
      <c r="AG12" s="106">
        <f>AG31</f>
        <v>19.01438216445527</v>
      </c>
      <c r="AH12" s="134">
        <f>AG48</f>
        <v>-40.427629004146901</v>
      </c>
      <c r="AI12" s="119">
        <f>AG12-AH12</f>
        <v>59.442011168602171</v>
      </c>
      <c r="AK12" s="57">
        <f>AK48</f>
        <v>95.473169999999996</v>
      </c>
      <c r="AL12" s="120">
        <f>AL48</f>
        <v>11.327278298878218</v>
      </c>
      <c r="AM12" s="60">
        <f>AN48</f>
        <v>202.64502397951011</v>
      </c>
      <c r="AN12" s="106">
        <f>AO31</f>
        <v>55.10939465803731</v>
      </c>
      <c r="AO12" s="106">
        <f>AO48</f>
        <v>-110.57873001476493</v>
      </c>
      <c r="AP12" s="119">
        <f>AN12-AO12</f>
        <v>165.68812467280225</v>
      </c>
      <c r="AQ12" s="106">
        <f>AQ31</f>
        <v>28.333167719627767</v>
      </c>
      <c r="AR12" s="134">
        <f>AQ48</f>
        <v>-56.607804213565082</v>
      </c>
      <c r="AS12" s="119">
        <f>AQ12-AR12</f>
        <v>84.940971933192856</v>
      </c>
    </row>
    <row r="13" spans="2:46">
      <c r="B13" s="6"/>
      <c r="C13" s="73"/>
      <c r="E13" s="44"/>
      <c r="F13" s="139" t="s">
        <v>41</v>
      </c>
      <c r="G13" s="57">
        <f>G53</f>
        <v>20.110623999999994</v>
      </c>
      <c r="H13" s="120">
        <f>H53</f>
        <v>2.3285694949063207</v>
      </c>
      <c r="I13" s="60">
        <f>J53</f>
        <v>39.621463488240131</v>
      </c>
      <c r="J13" s="106">
        <f>K29</f>
        <v>5.911453880681675</v>
      </c>
      <c r="K13" s="106">
        <f>K53</f>
        <v>-24.534798963409511</v>
      </c>
      <c r="L13" s="119">
        <f>J13-K13</f>
        <v>30.446252844091184</v>
      </c>
      <c r="M13" s="106">
        <f>M29</f>
        <v>3.8439228235294101</v>
      </c>
      <c r="N13" s="134">
        <f>M53</f>
        <v>-13.418840435990612</v>
      </c>
      <c r="O13" s="119">
        <f>M13-N13</f>
        <v>17.262763259520021</v>
      </c>
      <c r="Q13" s="57">
        <f>Q53</f>
        <v>38.826239999999991</v>
      </c>
      <c r="R13" s="120">
        <f>R53</f>
        <v>8.0961338145940207</v>
      </c>
      <c r="S13" s="60">
        <f>T53</f>
        <v>139.81059348848396</v>
      </c>
      <c r="T13" s="106">
        <f>U29</f>
        <v>12.484300209024017</v>
      </c>
      <c r="U13" s="106">
        <f>U53</f>
        <v>-112.35347443756162</v>
      </c>
      <c r="V13" s="119">
        <f>T13-U13</f>
        <v>124.83777464658563</v>
      </c>
      <c r="W13" s="106">
        <f>W29</f>
        <v>7.5719779669504224</v>
      </c>
      <c r="X13" s="134">
        <f>W53</f>
        <v>-57.396396831530176</v>
      </c>
      <c r="Y13" s="119">
        <f>W13-X13</f>
        <v>64.968374798480596</v>
      </c>
      <c r="AA13" s="57">
        <f>AA53</f>
        <v>62.340239999999994</v>
      </c>
      <c r="AB13" s="120">
        <f>AB53</f>
        <v>12.246497801895803</v>
      </c>
      <c r="AC13" s="60">
        <f>AD53</f>
        <v>201.44818702735162</v>
      </c>
      <c r="AD13" s="106">
        <f>AE29</f>
        <v>41.909291647884245</v>
      </c>
      <c r="AE13" s="106">
        <f>AE53</f>
        <v>-138.42601121391556</v>
      </c>
      <c r="AF13" s="119">
        <f>AD13-AE13</f>
        <v>180.33530286179979</v>
      </c>
      <c r="AG13" s="106">
        <f>AG29</f>
        <v>22.4651618606309</v>
      </c>
      <c r="AH13" s="134">
        <f>AG53</f>
        <v>-70.735985918532208</v>
      </c>
      <c r="AI13" s="119">
        <f>AG13-AH13</f>
        <v>93.201147779163108</v>
      </c>
      <c r="AK13" s="57">
        <f>AK53</f>
        <v>84.865039999999979</v>
      </c>
      <c r="AL13" s="120">
        <f>AL53</f>
        <v>16.479324978334027</v>
      </c>
      <c r="AM13" s="60">
        <f>AN53</f>
        <v>297.91373145830244</v>
      </c>
      <c r="AN13" s="106">
        <f>AO29</f>
        <v>62.468931022052132</v>
      </c>
      <c r="AO13" s="106">
        <f>AO53</f>
        <v>-205.84743749355727</v>
      </c>
      <c r="AP13" s="119">
        <f>AN13-AO13</f>
        <v>268.31636851560938</v>
      </c>
      <c r="AQ13" s="106">
        <f>AQ29</f>
        <v>32.686633091393865</v>
      </c>
      <c r="AR13" s="134">
        <f>AQ53</f>
        <v>-105.0432089858096</v>
      </c>
      <c r="AS13" s="119">
        <f>AQ13-AR13</f>
        <v>137.72984207720347</v>
      </c>
    </row>
    <row r="14" spans="2:46">
      <c r="B14" s="6"/>
      <c r="C14" s="73"/>
      <c r="E14" s="44"/>
      <c r="F14" s="139" t="s">
        <v>42</v>
      </c>
      <c r="G14" s="57">
        <f>G58</f>
        <v>17.596795999999991</v>
      </c>
      <c r="H14" s="120">
        <f>H58</f>
        <v>3.5168212242911094</v>
      </c>
      <c r="I14" s="60">
        <f>J58</f>
        <v>61.049565392334657</v>
      </c>
      <c r="J14" s="106">
        <f>K28</f>
        <v>6.8904647005897939</v>
      </c>
      <c r="K14" s="106">
        <f>K58</f>
        <v>-45.962900867504032</v>
      </c>
      <c r="L14" s="119">
        <f t="shared" ref="L14:L16" si="0">J14-K14</f>
        <v>52.853365568093828</v>
      </c>
      <c r="M14" s="106">
        <f>M28</f>
        <v>4.4714294438386037</v>
      </c>
      <c r="N14" s="134">
        <f>M58</f>
        <v>-24.234175149081231</v>
      </c>
      <c r="O14" s="119">
        <f t="shared" ref="O14:O16" si="1">M14-N14</f>
        <v>28.705604592919833</v>
      </c>
      <c r="Q14" s="57">
        <f>Q58</f>
        <v>33.972959999999986</v>
      </c>
      <c r="R14" s="120">
        <f>R58</f>
        <v>11.252880963598038</v>
      </c>
      <c r="S14" s="60">
        <f>T58</f>
        <v>201.60871808821855</v>
      </c>
      <c r="T14" s="106">
        <f>U28</f>
        <v>14.14445668637504</v>
      </c>
      <c r="U14" s="106">
        <f>U58</f>
        <v>-174.15159903729619</v>
      </c>
      <c r="V14" s="119">
        <f t="shared" ref="V14:V16" si="2">T14-U14</f>
        <v>188.29605572367123</v>
      </c>
      <c r="W14" s="106">
        <f>W28</f>
        <v>8.6240784758448612</v>
      </c>
      <c r="X14" s="134">
        <f>W58</f>
        <v>-89.185500320700328</v>
      </c>
      <c r="Y14" s="119">
        <f t="shared" ref="Y14:Y16" si="3">W14-X14</f>
        <v>97.809578796545196</v>
      </c>
      <c r="AA14" s="57">
        <f>AA58</f>
        <v>54.547709999999981</v>
      </c>
      <c r="AB14" s="120">
        <f>AB58</f>
        <v>16.21491649240523</v>
      </c>
      <c r="AC14" s="60">
        <f>AD58</f>
        <v>277.72156804942779</v>
      </c>
      <c r="AD14" s="106">
        <f>AE28</f>
        <v>45.227305177759803</v>
      </c>
      <c r="AE14" s="106">
        <f>AE58</f>
        <v>-214.69939223599172</v>
      </c>
      <c r="AF14" s="119">
        <f t="shared" ref="AF14:AF16" si="4">AD14-AE14</f>
        <v>259.92669741375153</v>
      </c>
      <c r="AG14" s="106">
        <f>AG28</f>
        <v>24.554635341022351</v>
      </c>
      <c r="AH14" s="134">
        <f>AG58</f>
        <v>-109.44509165132484</v>
      </c>
      <c r="AI14" s="119">
        <f t="shared" ref="AI14:AI16" si="5">AG14-AH14</f>
        <v>133.99972699234721</v>
      </c>
      <c r="AK14" s="57">
        <f>AK58</f>
        <v>74.256909999999976</v>
      </c>
      <c r="AL14" s="120">
        <f>AL58</f>
        <v>23.231620619529743</v>
      </c>
      <c r="AM14" s="60" t="e">
        <f>AN58</f>
        <v>#N/A</v>
      </c>
      <c r="AN14" s="106">
        <f>AO28</f>
        <v>66.661827532768186</v>
      </c>
      <c r="AO14" s="106" t="e">
        <f>AO58</f>
        <v>#N/A</v>
      </c>
      <c r="AP14" s="119" t="e">
        <f t="shared" ref="AP14:AP16" si="6">AN14-AO14</f>
        <v>#N/A</v>
      </c>
      <c r="AQ14" s="106">
        <f>AQ28</f>
        <v>35.319679279015247</v>
      </c>
      <c r="AR14" s="134">
        <f>AQ58</f>
        <v>-175.76706344814519</v>
      </c>
      <c r="AS14" s="119">
        <f t="shared" ref="AS14:AS16" si="7">AQ14-AR14</f>
        <v>211.08674272716044</v>
      </c>
    </row>
    <row r="15" spans="2:46">
      <c r="B15" s="6"/>
      <c r="C15" s="73"/>
      <c r="E15" s="44"/>
      <c r="F15" s="139" t="s">
        <v>47</v>
      </c>
      <c r="G15" s="57">
        <f>G63</f>
        <v>15.08296799999999</v>
      </c>
      <c r="H15" s="120">
        <f>H63</f>
        <v>5.381213286583618</v>
      </c>
      <c r="I15" s="60">
        <f>J63</f>
        <v>99.956726574578468</v>
      </c>
      <c r="J15" s="106">
        <f>K27</f>
        <v>7.763930994885734</v>
      </c>
      <c r="K15" s="106">
        <f>K63</f>
        <v>-84.870062049747844</v>
      </c>
      <c r="L15" s="119">
        <f t="shared" si="0"/>
        <v>92.633993044633584</v>
      </c>
      <c r="M15" s="106">
        <f>M27</f>
        <v>5.0111206387035274</v>
      </c>
      <c r="N15" s="134">
        <f>M63</f>
        <v>-43.840085872663209</v>
      </c>
      <c r="O15" s="119">
        <f t="shared" si="1"/>
        <v>48.85120651136674</v>
      </c>
      <c r="Q15" s="57">
        <f>Q63</f>
        <v>29.119679999999985</v>
      </c>
      <c r="R15" s="120">
        <f>R63</f>
        <v>14.81558145014516</v>
      </c>
      <c r="S15" s="60">
        <f>T63</f>
        <v>282.13494813583372</v>
      </c>
      <c r="T15" s="106">
        <f>U27</f>
        <v>15.482110817974998</v>
      </c>
      <c r="U15" s="106">
        <f>U63</f>
        <v>-254.67782908491137</v>
      </c>
      <c r="V15" s="119">
        <f t="shared" si="2"/>
        <v>270.15993990288638</v>
      </c>
      <c r="W15" s="106">
        <f>W27</f>
        <v>9.4563368300926136</v>
      </c>
      <c r="X15" s="134">
        <f>W63</f>
        <v>-130.27615239893609</v>
      </c>
      <c r="Y15" s="119">
        <f t="shared" si="3"/>
        <v>139.73248922902872</v>
      </c>
      <c r="AA15" s="57">
        <f>AA63</f>
        <v>46.755179999999974</v>
      </c>
      <c r="AB15" s="120">
        <f>AB63</f>
        <v>21.468708557319861</v>
      </c>
      <c r="AC15" s="60">
        <f>AD63</f>
        <v>394.15833353521691</v>
      </c>
      <c r="AD15" s="106">
        <f>AE27</f>
        <v>47.578724882251677</v>
      </c>
      <c r="AE15" s="106">
        <f>AE63</f>
        <v>-331.13615772178082</v>
      </c>
      <c r="AF15" s="119">
        <f t="shared" si="4"/>
        <v>378.71488260403248</v>
      </c>
      <c r="AG15" s="106">
        <f>AG27</f>
        <v>26.047725854044348</v>
      </c>
      <c r="AH15" s="134">
        <f>AG63</f>
        <v>-167.50167678569056</v>
      </c>
      <c r="AI15" s="119">
        <f t="shared" si="5"/>
        <v>193.54940263973492</v>
      </c>
      <c r="AK15" s="57">
        <f>AK63</f>
        <v>63.64877999999996</v>
      </c>
      <c r="AL15" s="120">
        <f>AL63</f>
        <v>33.953032396309624</v>
      </c>
      <c r="AM15" s="60" t="e">
        <f>AN63</f>
        <v>#N/A</v>
      </c>
      <c r="AN15" s="106">
        <f>AO27</f>
        <v>69.763693992745331</v>
      </c>
      <c r="AO15" s="106" t="e">
        <f>AO63</f>
        <v>#N/A</v>
      </c>
      <c r="AP15" s="119" t="e">
        <f t="shared" si="6"/>
        <v>#N/A</v>
      </c>
      <c r="AQ15" s="106">
        <f>AQ27</f>
        <v>37.334551279690665</v>
      </c>
      <c r="AR15" s="134">
        <f>AQ63</f>
        <v>-306.08117438945652</v>
      </c>
      <c r="AS15" s="119">
        <f t="shared" si="7"/>
        <v>343.41572566914721</v>
      </c>
    </row>
    <row r="16" spans="2:46">
      <c r="B16" s="6"/>
      <c r="C16" s="73"/>
      <c r="E16" s="44"/>
      <c r="F16" s="139" t="s">
        <v>48</v>
      </c>
      <c r="G16" s="57">
        <f>G65</f>
        <v>12.56913999999999</v>
      </c>
      <c r="H16" s="120">
        <f>H65</f>
        <v>8.0610216844105462</v>
      </c>
      <c r="I16" s="60">
        <f>J65</f>
        <v>165.90912181238284</v>
      </c>
      <c r="J16" s="106">
        <f>K26</f>
        <v>8.6381168883560342</v>
      </c>
      <c r="K16" s="106">
        <f>K65</f>
        <v>-150.82245728755223</v>
      </c>
      <c r="L16" s="119">
        <f t="shared" si="0"/>
        <v>159.46057417590825</v>
      </c>
      <c r="M16" s="106">
        <f>M26</f>
        <v>5.5223235097119883</v>
      </c>
      <c r="N16" s="134">
        <f>M65</f>
        <v>-77.530918561032848</v>
      </c>
      <c r="O16" s="119">
        <f t="shared" si="1"/>
        <v>83.05324207074483</v>
      </c>
      <c r="Q16" s="57">
        <f>Q65</f>
        <v>24.266399999999983</v>
      </c>
      <c r="R16" s="120">
        <f>R65</f>
        <v>19.506420652687062</v>
      </c>
      <c r="S16" s="60">
        <f>T65</f>
        <v>407.86876212569496</v>
      </c>
      <c r="T16" s="106">
        <f>U26</f>
        <v>16.742361323146341</v>
      </c>
      <c r="U16" s="106">
        <f>U65</f>
        <v>-380.4116430747726</v>
      </c>
      <c r="V16" s="119">
        <f t="shared" si="2"/>
        <v>397.15400439791892</v>
      </c>
      <c r="W16" s="106">
        <f>W26</f>
        <v>10.205017039000378</v>
      </c>
      <c r="X16" s="134">
        <f>W65</f>
        <v>-193.31199032619153</v>
      </c>
      <c r="Y16" s="119">
        <f t="shared" si="3"/>
        <v>203.51700736519192</v>
      </c>
      <c r="AA16" s="57">
        <f>AA65</f>
        <v>38.962649999999975</v>
      </c>
      <c r="AB16" s="120">
        <f>AB65</f>
        <v>30.628169160950982</v>
      </c>
      <c r="AC16" s="60">
        <f>AD65</f>
        <v>635.75330474275597</v>
      </c>
      <c r="AD16" s="106">
        <f>AE26</f>
        <v>49.50864141508962</v>
      </c>
      <c r="AE16" s="106">
        <f>AE65</f>
        <v>-572.73112892931988</v>
      </c>
      <c r="AF16" s="119">
        <f t="shared" si="4"/>
        <v>622.23977034440952</v>
      </c>
      <c r="AG16" s="106">
        <f>AG26</f>
        <v>27.249813399184021</v>
      </c>
      <c r="AH16" s="134">
        <f>AG65</f>
        <v>-287.80260387304656</v>
      </c>
      <c r="AI16" s="119">
        <f t="shared" si="5"/>
        <v>315.05241727223057</v>
      </c>
      <c r="AK16" s="57">
        <f>AK65</f>
        <v>53.040649999999957</v>
      </c>
      <c r="AL16" s="120">
        <f>AL65</f>
        <v>48.914848189899345</v>
      </c>
      <c r="AM16" s="60" t="e">
        <f>AN65</f>
        <v>#N/A</v>
      </c>
      <c r="AN16" s="106">
        <f>AO26</f>
        <v>72.349729671627642</v>
      </c>
      <c r="AO16" s="106" t="e">
        <f>AO65</f>
        <v>#N/A</v>
      </c>
      <c r="AP16" s="119" t="e">
        <f t="shared" si="6"/>
        <v>#N/A</v>
      </c>
      <c r="AQ16" s="106">
        <f>AQ26</f>
        <v>39.034429806259311</v>
      </c>
      <c r="AR16" s="134">
        <f>AQ65</f>
        <v>-522.52721614341499</v>
      </c>
      <c r="AS16" s="119">
        <f t="shared" si="7"/>
        <v>561.56164594967436</v>
      </c>
    </row>
    <row r="17" spans="2:46">
      <c r="B17" s="6"/>
      <c r="C17" s="73"/>
      <c r="E17" s="44"/>
      <c r="F17" s="6"/>
      <c r="G17" s="59"/>
      <c r="H17" s="75"/>
      <c r="N17" s="53"/>
      <c r="Q17" s="59"/>
      <c r="R17" s="49"/>
      <c r="X17" s="53"/>
      <c r="AA17" s="59"/>
      <c r="AB17" s="49"/>
      <c r="AH17" s="53"/>
      <c r="AK17" s="59"/>
      <c r="AL17" s="23"/>
    </row>
    <row r="18" spans="2:46">
      <c r="E18" s="23"/>
      <c r="G18" s="125" t="str">
        <f>"in "&amp;$C$6</f>
        <v>in Air</v>
      </c>
      <c r="H18" s="10" t="s">
        <v>24</v>
      </c>
      <c r="I18" s="84" t="s">
        <v>37</v>
      </c>
      <c r="J18" s="89" t="str">
        <f>$C$6</f>
        <v>Air</v>
      </c>
      <c r="K18" s="90"/>
      <c r="L18" s="26" t="s">
        <v>37</v>
      </c>
      <c r="M18" s="95" t="str">
        <f>$C$5</f>
        <v>Al</v>
      </c>
      <c r="N18" s="125" t="str">
        <f>"in "&amp;$C$6</f>
        <v>in Air</v>
      </c>
      <c r="O18" s="100"/>
      <c r="Q18" s="125" t="str">
        <f>"in "&amp;$C$6</f>
        <v>in Air</v>
      </c>
      <c r="R18" s="10" t="s">
        <v>24</v>
      </c>
      <c r="S18" s="84" t="s">
        <v>37</v>
      </c>
      <c r="T18" s="89" t="str">
        <f>$C$6</f>
        <v>Air</v>
      </c>
      <c r="U18" s="90"/>
      <c r="V18" s="26" t="s">
        <v>37</v>
      </c>
      <c r="W18" s="95" t="str">
        <f>$C$5</f>
        <v>Al</v>
      </c>
      <c r="X18" s="125" t="str">
        <f>"in "&amp;$C$6</f>
        <v>in Air</v>
      </c>
      <c r="Y18" s="100"/>
      <c r="AA18" s="125" t="str">
        <f>"in "&amp;$C$6</f>
        <v>in Air</v>
      </c>
      <c r="AB18" s="10" t="s">
        <v>24</v>
      </c>
      <c r="AC18" s="84" t="s">
        <v>37</v>
      </c>
      <c r="AD18" s="89" t="str">
        <f>$C$6</f>
        <v>Air</v>
      </c>
      <c r="AE18" s="90"/>
      <c r="AF18" s="26" t="s">
        <v>37</v>
      </c>
      <c r="AG18" s="95" t="str">
        <f>$C$5</f>
        <v>Al</v>
      </c>
      <c r="AH18" s="125" t="str">
        <f>"in "&amp;$C$6</f>
        <v>in Air</v>
      </c>
      <c r="AI18" s="100"/>
      <c r="AK18" s="125" t="str">
        <f>"in "&amp;$C$6</f>
        <v>in Air</v>
      </c>
      <c r="AL18" s="10" t="s">
        <v>24</v>
      </c>
      <c r="AM18" s="84" t="s">
        <v>37</v>
      </c>
      <c r="AN18" s="89" t="str">
        <f>$C$6</f>
        <v>Air</v>
      </c>
      <c r="AO18" s="90"/>
      <c r="AP18" s="26" t="s">
        <v>37</v>
      </c>
      <c r="AQ18" s="95" t="str">
        <f>$C$5</f>
        <v>Al</v>
      </c>
      <c r="AR18" s="125" t="str">
        <f>"in "&amp;$C$6</f>
        <v>in Air</v>
      </c>
      <c r="AS18" s="100"/>
    </row>
    <row r="19" spans="2:46">
      <c r="F19" s="6" t="s">
        <v>18</v>
      </c>
      <c r="G19" s="97" t="s">
        <v>27</v>
      </c>
      <c r="H19" s="1"/>
      <c r="I19" s="91"/>
      <c r="J19" s="88"/>
      <c r="K19" s="92" t="s">
        <v>33</v>
      </c>
      <c r="L19" s="91"/>
      <c r="M19" s="92" t="s">
        <v>33</v>
      </c>
      <c r="N19" s="101" t="s">
        <v>14</v>
      </c>
      <c r="O19" s="102" t="s">
        <v>15</v>
      </c>
      <c r="P19" s="23"/>
      <c r="Q19" s="97" t="s">
        <v>13</v>
      </c>
      <c r="R19" s="1"/>
      <c r="S19" s="91"/>
      <c r="T19" s="88"/>
      <c r="U19" s="92" t="s">
        <v>33</v>
      </c>
      <c r="V19" s="91"/>
      <c r="W19" s="92" t="s">
        <v>33</v>
      </c>
      <c r="X19" s="101" t="s">
        <v>14</v>
      </c>
      <c r="Y19" s="102" t="s">
        <v>15</v>
      </c>
      <c r="Z19" s="23"/>
      <c r="AA19" s="97" t="s">
        <v>13</v>
      </c>
      <c r="AB19" s="1"/>
      <c r="AC19" s="91"/>
      <c r="AD19" s="88"/>
      <c r="AE19" s="92" t="s">
        <v>33</v>
      </c>
      <c r="AF19" s="91"/>
      <c r="AG19" s="92" t="s">
        <v>33</v>
      </c>
      <c r="AH19" s="101" t="s">
        <v>14</v>
      </c>
      <c r="AI19" s="102" t="s">
        <v>15</v>
      </c>
      <c r="AJ19" s="23"/>
      <c r="AK19" s="97" t="s">
        <v>13</v>
      </c>
      <c r="AL19" s="1"/>
      <c r="AM19" s="91"/>
      <c r="AN19" s="88"/>
      <c r="AO19" s="92" t="s">
        <v>33</v>
      </c>
      <c r="AP19" s="91"/>
      <c r="AQ19" s="92" t="s">
        <v>33</v>
      </c>
      <c r="AR19" s="101" t="s">
        <v>14</v>
      </c>
      <c r="AS19" s="102" t="s">
        <v>15</v>
      </c>
    </row>
    <row r="20" spans="2:46">
      <c r="F20" s="11" t="s">
        <v>23</v>
      </c>
      <c r="G20" s="98"/>
      <c r="H20" s="99" t="s">
        <v>25</v>
      </c>
      <c r="I20" s="93" t="s">
        <v>28</v>
      </c>
      <c r="J20" s="64" t="s">
        <v>29</v>
      </c>
      <c r="K20" s="94" t="s">
        <v>22</v>
      </c>
      <c r="L20" s="93" t="s">
        <v>0</v>
      </c>
      <c r="M20" s="96" t="s">
        <v>0</v>
      </c>
      <c r="N20" s="103"/>
      <c r="O20" s="65"/>
      <c r="P20" s="50"/>
      <c r="Q20" s="98"/>
      <c r="R20" s="99" t="s">
        <v>25</v>
      </c>
      <c r="S20" s="93" t="s">
        <v>0</v>
      </c>
      <c r="T20" s="64" t="s">
        <v>1</v>
      </c>
      <c r="U20" s="94" t="s">
        <v>1</v>
      </c>
      <c r="V20" s="93" t="s">
        <v>0</v>
      </c>
      <c r="W20" s="96" t="s">
        <v>0</v>
      </c>
      <c r="X20" s="103"/>
      <c r="Y20" s="65"/>
      <c r="Z20" s="50"/>
      <c r="AA20" s="98"/>
      <c r="AB20" s="99" t="s">
        <v>25</v>
      </c>
      <c r="AC20" s="93" t="s">
        <v>0</v>
      </c>
      <c r="AD20" s="64" t="s">
        <v>1</v>
      </c>
      <c r="AE20" s="94" t="s">
        <v>1</v>
      </c>
      <c r="AF20" s="93" t="s">
        <v>0</v>
      </c>
      <c r="AG20" s="96" t="s">
        <v>0</v>
      </c>
      <c r="AH20" s="103"/>
      <c r="AI20" s="65"/>
      <c r="AJ20" s="50"/>
      <c r="AK20" s="98"/>
      <c r="AL20" s="99" t="s">
        <v>25</v>
      </c>
      <c r="AM20" s="93" t="s">
        <v>0</v>
      </c>
      <c r="AN20" s="64" t="s">
        <v>1</v>
      </c>
      <c r="AO20" s="94" t="s">
        <v>1</v>
      </c>
      <c r="AP20" s="93" t="s">
        <v>0</v>
      </c>
      <c r="AQ20" s="96" t="s">
        <v>0</v>
      </c>
      <c r="AR20" s="103"/>
      <c r="AS20" s="65"/>
      <c r="AT20" s="50"/>
    </row>
    <row r="21" spans="2:46">
      <c r="F21" s="23"/>
      <c r="G21" s="142">
        <v>0</v>
      </c>
      <c r="H21" s="143">
        <v>0</v>
      </c>
      <c r="I21" s="144">
        <v>0</v>
      </c>
      <c r="J21" s="145">
        <v>0</v>
      </c>
      <c r="K21" s="146">
        <f t="shared" ref="K21:M36" si="8">J$38-J21</f>
        <v>15.086664524830621</v>
      </c>
      <c r="L21" s="147">
        <v>0</v>
      </c>
      <c r="M21" s="146">
        <f>L$38-L21</f>
        <v>8.6199999999999992</v>
      </c>
      <c r="N21" s="145">
        <v>0</v>
      </c>
      <c r="O21" s="148">
        <v>0</v>
      </c>
      <c r="P21" s="58"/>
      <c r="Q21" s="142">
        <v>0</v>
      </c>
      <c r="R21" s="143">
        <v>0</v>
      </c>
      <c r="S21" s="144">
        <v>0</v>
      </c>
      <c r="T21" s="145">
        <v>0</v>
      </c>
      <c r="U21" s="146">
        <f t="shared" ref="U21:U36" si="9">T$38-T21</f>
        <v>27.457119050922348</v>
      </c>
      <c r="V21" s="147">
        <v>0</v>
      </c>
      <c r="W21" s="146">
        <f>V$38-V21</f>
        <v>15.26</v>
      </c>
      <c r="X21" s="145">
        <v>0</v>
      </c>
      <c r="Y21" s="148">
        <v>0</v>
      </c>
      <c r="Z21" s="58"/>
      <c r="AA21" s="142">
        <v>0</v>
      </c>
      <c r="AB21" s="143">
        <v>0</v>
      </c>
      <c r="AC21" s="144">
        <v>0</v>
      </c>
      <c r="AD21" s="145">
        <v>0</v>
      </c>
      <c r="AE21" s="146">
        <f t="shared" ref="AE21:AE36" si="10">AD$38-AD21</f>
        <v>63.022175813436071</v>
      </c>
      <c r="AF21" s="147">
        <v>0</v>
      </c>
      <c r="AG21" s="146">
        <f>AF$38-AF21</f>
        <v>33.869999999999997</v>
      </c>
      <c r="AH21" s="145">
        <v>0</v>
      </c>
      <c r="AI21" s="148">
        <v>0</v>
      </c>
      <c r="AJ21" s="58"/>
      <c r="AK21" s="142">
        <v>0</v>
      </c>
      <c r="AL21" s="143">
        <v>0</v>
      </c>
      <c r="AM21" s="144">
        <v>0</v>
      </c>
      <c r="AN21" s="145">
        <v>0</v>
      </c>
      <c r="AO21" s="146">
        <f t="shared" ref="AO21:AO36" si="11">AN$38-AN21</f>
        <v>92.066293964745185</v>
      </c>
      <c r="AP21" s="147">
        <v>0</v>
      </c>
      <c r="AQ21" s="146">
        <f>AP$38-AP21</f>
        <v>49.57</v>
      </c>
      <c r="AR21" s="145">
        <v>0</v>
      </c>
      <c r="AS21" s="148">
        <v>0</v>
      </c>
      <c r="AT21" s="58"/>
    </row>
    <row r="22" spans="2:46">
      <c r="F22" s="61">
        <v>0.1</v>
      </c>
      <c r="G22" s="149">
        <f t="shared" ref="G22:G37" si="12">G$38*$F22</f>
        <v>2.5138280000000002</v>
      </c>
      <c r="H22" s="66">
        <f>[1]!srLETt2E(G$6,G22,0,-1)</f>
        <v>4.1326939655172421E-5</v>
      </c>
      <c r="I22" s="62">
        <f>[1]!srE2Rng(G$6,H22)</f>
        <v>7.1680017241379321</v>
      </c>
      <c r="J22" s="60">
        <f t="shared" ref="J22:J53" si="13">IF(H22&gt;H$11,NA(),I22/$C$9/1000)</f>
        <v>7.2920591588318592E-3</v>
      </c>
      <c r="K22" s="78">
        <f t="shared" si="8"/>
        <v>15.079372465671788</v>
      </c>
      <c r="L22" s="86">
        <f>[1]!srE2Rng(G$5,H22)</f>
        <v>3.8530775862068967E-3</v>
      </c>
      <c r="M22" s="78">
        <f t="shared" si="8"/>
        <v>8.6161469224137921</v>
      </c>
      <c r="N22" s="61">
        <f>[1]!srE2LETe(G$6,H22,0)</f>
        <v>0.21059696551724141</v>
      </c>
      <c r="O22" s="29">
        <f>[1]!srE2LETn(G$6,H22,0)</f>
        <v>2.3032310344827587</v>
      </c>
      <c r="P22" s="52"/>
      <c r="Q22" s="149">
        <f t="shared" ref="Q22:Q37" si="14">Q$38*$F22</f>
        <v>4.8532800000000007</v>
      </c>
      <c r="R22" s="66">
        <f>[1]!srLETt2E(Q$6,Q22,0,-1)</f>
        <v>6.0748860600345783E-5</v>
      </c>
      <c r="S22" s="62">
        <f>[1]!srE2Rng(Q$6,R22)</f>
        <v>13.502298349834987</v>
      </c>
      <c r="T22" s="60">
        <f t="shared" ref="T22:T53" si="15">IF(R22&gt;R$11,NA(),S22/$C$9/1000)</f>
        <v>1.3735984188680684E-2</v>
      </c>
      <c r="U22" s="78">
        <f t="shared" si="9"/>
        <v>27.443383066733666</v>
      </c>
      <c r="V22" s="86">
        <f>[1]!srE2Rng(Q$5,R22)</f>
        <v>6.8823234323432368E-3</v>
      </c>
      <c r="W22" s="78">
        <f t="shared" ref="W22:W73" si="16">V$38-V22</f>
        <v>15.253117676567657</v>
      </c>
      <c r="X22" s="61">
        <f>[1]!srE2LETe(Q$6,R22,0)</f>
        <v>0.31929003300330039</v>
      </c>
      <c r="Y22" s="29">
        <f>[1]!srE2LETn(Q$6,R22,0)</f>
        <v>4.5339899669967005</v>
      </c>
      <c r="Z22" s="52"/>
      <c r="AA22" s="149">
        <f t="shared" ref="AA22:AA37" si="17">AA$38*$F22</f>
        <v>7.7925300000000011</v>
      </c>
      <c r="AB22" s="66">
        <f>[1]!srLETt2E(AA$6,AA22,0,-1)</f>
        <v>1.1335461303815743E-4</v>
      </c>
      <c r="AC22" s="62">
        <f>[1]!srE2Rng(AA$6,AB22)</f>
        <v>25.463180831826413</v>
      </c>
      <c r="AD22" s="60">
        <f t="shared" ref="AD22:AD53" si="18">IF(AB22&gt;AB$11,NA(),AC22/$C$9/1000)</f>
        <v>2.5903875046855197E-2</v>
      </c>
      <c r="AE22" s="78">
        <f t="shared" si="10"/>
        <v>62.996271938389214</v>
      </c>
      <c r="AF22" s="86">
        <f>[1]!srE2Rng(AA$5,AB22)</f>
        <v>1.278140446051839E-2</v>
      </c>
      <c r="AG22" s="78">
        <f t="shared" ref="AG22:AG73" si="19">AF$38-AF22</f>
        <v>33.857218595539479</v>
      </c>
      <c r="AH22" s="61">
        <f>[1]!srE2LETe(AA$6,AB22,0)</f>
        <v>0.52803427968655836</v>
      </c>
      <c r="AI22" s="29">
        <f>[1]!srE2LETn(AA$6,AB22,0)</f>
        <v>7.2644957203134428</v>
      </c>
      <c r="AJ22" s="52"/>
      <c r="AK22" s="149">
        <f t="shared" ref="AK22:AK37" si="20">AK$38*$F22</f>
        <v>10.608130000000001</v>
      </c>
      <c r="AL22" s="66">
        <f>[1]!srLETt2E(AK$6,AK22,0,-1)</f>
        <v>1.2630519802311725E-4</v>
      </c>
      <c r="AM22" s="62">
        <f>[1]!srE2Rng(AK$6,AL22)</f>
        <v>33.521828759894461</v>
      </c>
      <c r="AN22" s="60">
        <f t="shared" ref="AN22:AN53" si="21">IF(AL22&gt;AL$11,NA(),AM22/$C$9/1000)</f>
        <v>3.4101994926456276E-2</v>
      </c>
      <c r="AO22" s="78">
        <f t="shared" si="11"/>
        <v>92.032191969818726</v>
      </c>
      <c r="AP22" s="86">
        <f>[1]!srE2Rng(AK$5,AL22)</f>
        <v>1.6657564643799475E-2</v>
      </c>
      <c r="AQ22" s="78">
        <f t="shared" ref="AQ22:AQ72" si="22">AP$38-AP22</f>
        <v>49.5533424353562</v>
      </c>
      <c r="AR22" s="61">
        <f>[1]!srE2LETe(AK$6,AL22,0)</f>
        <v>1.1033124274406334</v>
      </c>
      <c r="AS22" s="29">
        <f>[1]!srE2LETn(AK$6,AL22,0)</f>
        <v>9.504817572559368</v>
      </c>
      <c r="AT22" s="52"/>
    </row>
    <row r="23" spans="2:46">
      <c r="B23" s="25"/>
      <c r="C23" s="25"/>
      <c r="D23" s="25"/>
      <c r="E23" s="25"/>
      <c r="F23" s="61">
        <v>0.2</v>
      </c>
      <c r="G23" s="149">
        <f t="shared" si="12"/>
        <v>5.0276560000000003</v>
      </c>
      <c r="H23" s="66">
        <f>[1]!srLETt2E(G$6,G23,0,-1)</f>
        <v>2.159973736047275E-2</v>
      </c>
      <c r="I23" s="62">
        <f>[1]!srE2Rng(G$6,H23)</f>
        <v>1542.3831910702561</v>
      </c>
      <c r="J23" s="60">
        <f t="shared" si="13"/>
        <v>1.5690773953078005</v>
      </c>
      <c r="K23" s="78">
        <f t="shared" si="8"/>
        <v>13.51758712952282</v>
      </c>
      <c r="L23" s="86">
        <f>[1]!srE2Rng(G$5,H23)</f>
        <v>0.74116776362442549</v>
      </c>
      <c r="M23" s="78">
        <f t="shared" si="8"/>
        <v>7.8788322363755734</v>
      </c>
      <c r="N23" s="61">
        <f>[1]!srE2LETe(G$6,H23,0)</f>
        <v>4.196857202889035</v>
      </c>
      <c r="O23" s="29">
        <f>[1]!srE2LETn(G$6,H23,0)</f>
        <v>0.83079879711096527</v>
      </c>
      <c r="P23" s="52"/>
      <c r="Q23" s="149">
        <f t="shared" si="14"/>
        <v>9.7065600000000014</v>
      </c>
      <c r="R23" s="66">
        <f>[1]!srLETt2E(Q$6,Q23,0,-1)</f>
        <v>5.4108611186410055E-2</v>
      </c>
      <c r="S23" s="62">
        <f>[1]!srE2Rng(Q$6,R23)</f>
        <v>4687.001138519925</v>
      </c>
      <c r="T23" s="60">
        <f t="shared" si="15"/>
        <v>4.7681196091941525</v>
      </c>
      <c r="U23" s="78">
        <f t="shared" si="9"/>
        <v>22.688999441728196</v>
      </c>
      <c r="V23" s="86">
        <f>[1]!srE2Rng(Q$5,R23)</f>
        <v>2.1562444022770402</v>
      </c>
      <c r="W23" s="78">
        <f t="shared" si="16"/>
        <v>13.103755597722959</v>
      </c>
      <c r="X23" s="61">
        <f>[1]!srE2LETe(Q$6,R23,0)</f>
        <v>8.2507651612903246</v>
      </c>
      <c r="Y23" s="29">
        <f>[1]!srE2LETn(Q$6,R23,0)</f>
        <v>1.4557948387096773</v>
      </c>
      <c r="Z23" s="52"/>
      <c r="AA23" s="149">
        <f t="shared" si="17"/>
        <v>15.585060000000002</v>
      </c>
      <c r="AB23" s="66">
        <f>[1]!srLETt2E(AA$6,AA23,0,-1)</f>
        <v>7.2461939102564127E-2</v>
      </c>
      <c r="AC23" s="62">
        <f>[1]!srE2Rng(AA$6,AB23)</f>
        <v>6099.4372596153862</v>
      </c>
      <c r="AD23" s="60">
        <f t="shared" si="18"/>
        <v>6.2050009255609941</v>
      </c>
      <c r="AE23" s="78">
        <f t="shared" si="10"/>
        <v>56.817174887875076</v>
      </c>
      <c r="AF23" s="86">
        <f>[1]!srE2Rng(AA$5,AB23)</f>
        <v>2.7955942307692316</v>
      </c>
      <c r="AG23" s="78">
        <f t="shared" si="19"/>
        <v>31.074405769230765</v>
      </c>
      <c r="AH23" s="61">
        <f>[1]!srE2LETe(AA$6,AB23,0)</f>
        <v>13.224975961538465</v>
      </c>
      <c r="AI23" s="29">
        <f>[1]!srE2LETn(AA$6,AB23,0)</f>
        <v>2.360084038461538</v>
      </c>
      <c r="AJ23" s="52"/>
      <c r="AK23" s="149">
        <f t="shared" si="20"/>
        <v>21.216260000000002</v>
      </c>
      <c r="AL23" s="66">
        <f>[1]!srLETt2E(AK$6,AK23,0,-1)</f>
        <v>0.11615613033217562</v>
      </c>
      <c r="AM23" s="62">
        <f>[1]!srE2Rng(AK$6,AL23)</f>
        <v>10343.916885964913</v>
      </c>
      <c r="AN23" s="60">
        <f t="shared" si="21"/>
        <v>10.522940251603726</v>
      </c>
      <c r="AO23" s="78">
        <f t="shared" si="11"/>
        <v>81.543353713141457</v>
      </c>
      <c r="AP23" s="86">
        <f>[1]!srE2Rng(AK$5,AL23)</f>
        <v>5.0365515350877192</v>
      </c>
      <c r="AQ23" s="78">
        <f t="shared" si="22"/>
        <v>44.533448464912283</v>
      </c>
      <c r="AR23" s="61">
        <f>[1]!srE2LETe(AK$6,AL23,0)</f>
        <v>17.993861293859648</v>
      </c>
      <c r="AS23" s="29">
        <f>[1]!srE2LETn(AK$6,AL23,0)</f>
        <v>3.2223987061403507</v>
      </c>
      <c r="AT23" s="52"/>
    </row>
    <row r="24" spans="2:46">
      <c r="B24" s="25"/>
      <c r="C24" s="25"/>
      <c r="D24" s="25"/>
      <c r="E24" s="25"/>
      <c r="F24" s="61">
        <v>0.3</v>
      </c>
      <c r="G24" s="149">
        <f t="shared" si="12"/>
        <v>7.5414839999999987</v>
      </c>
      <c r="H24" s="66">
        <f>[1]!srLETt2E(G$6,G24,0,-1)</f>
        <v>6.6694291338582651E-2</v>
      </c>
      <c r="I24" s="62">
        <f>[1]!srE2Rng(G$6,H24)</f>
        <v>3911.1933858267703</v>
      </c>
      <c r="J24" s="60">
        <f t="shared" si="13"/>
        <v>3.9788848620165136</v>
      </c>
      <c r="K24" s="78">
        <f t="shared" si="8"/>
        <v>11.107779662814107</v>
      </c>
      <c r="L24" s="86">
        <f>[1]!srE2Rng(G$5,H24)</f>
        <v>1.857241259842519</v>
      </c>
      <c r="M24" s="78">
        <f t="shared" si="8"/>
        <v>6.76275874015748</v>
      </c>
      <c r="N24" s="61">
        <f>[1]!srE2LETe(G$6,H24,0)</f>
        <v>7.1658033385826752</v>
      </c>
      <c r="O24" s="29">
        <f>[1]!srE2LETn(G$6,H24,0)</f>
        <v>0.37568066141732298</v>
      </c>
      <c r="P24" s="52"/>
      <c r="Q24" s="149">
        <f t="shared" si="14"/>
        <v>14.559839999999999</v>
      </c>
      <c r="R24" s="66">
        <f>[1]!srLETt2E(Q$6,Q24,0,-1)</f>
        <v>0.10228532323717093</v>
      </c>
      <c r="S24" s="62">
        <f>[1]!srE2Rng(Q$6,R24)</f>
        <v>7477.4212765957445</v>
      </c>
      <c r="T24" s="60">
        <f t="shared" si="15"/>
        <v>7.6068338712630288</v>
      </c>
      <c r="U24" s="78">
        <f t="shared" si="9"/>
        <v>19.85028517965932</v>
      </c>
      <c r="V24" s="86">
        <f>[1]!srE2Rng(Q$5,R24)</f>
        <v>3.429831131019037</v>
      </c>
      <c r="W24" s="78">
        <f t="shared" si="16"/>
        <v>11.830168868980962</v>
      </c>
      <c r="X24" s="61">
        <f>[1]!srE2LETe(Q$6,R24,0)</f>
        <v>13.630593355729749</v>
      </c>
      <c r="Y24" s="29">
        <f>[1]!srE2LETn(Q$6,R24,0)</f>
        <v>0.92924664427025006</v>
      </c>
      <c r="Z24" s="52"/>
      <c r="AA24" s="149">
        <f t="shared" si="17"/>
        <v>23.377590000000001</v>
      </c>
      <c r="AB24" s="66">
        <f>[1]!srLETt2E(AA$6,AA24,0,-1)</f>
        <v>0.13016678565762335</v>
      </c>
      <c r="AC24" s="62">
        <f>[1]!srE2Rng(AA$6,AB24)</f>
        <v>9401.8853403141366</v>
      </c>
      <c r="AD24" s="60">
        <f t="shared" si="18"/>
        <v>9.5646048570628697</v>
      </c>
      <c r="AE24" s="78">
        <f t="shared" si="10"/>
        <v>53.457570956373203</v>
      </c>
      <c r="AF24" s="86">
        <f>[1]!srE2Rng(AA$5,AB24)</f>
        <v>4.3927628272251313</v>
      </c>
      <c r="AG24" s="78">
        <f t="shared" si="19"/>
        <v>29.477237172774867</v>
      </c>
      <c r="AH24" s="61">
        <f>[1]!srE2LETe(AA$6,AB24,0)</f>
        <v>21.810239005235601</v>
      </c>
      <c r="AI24" s="29">
        <f>[1]!srE2LETn(AA$6,AB24,0)</f>
        <v>1.5673509947643978</v>
      </c>
      <c r="AJ24" s="52"/>
      <c r="AK24" s="149">
        <f t="shared" si="20"/>
        <v>31.824389999999998</v>
      </c>
      <c r="AL24" s="66">
        <f>[1]!srLETt2E(AK$6,AK24,0,-1)</f>
        <v>0.17987342822069605</v>
      </c>
      <c r="AM24" s="62">
        <f>[1]!srE2Rng(AK$6,AL24)</f>
        <v>14339.636470588235</v>
      </c>
      <c r="AN24" s="60">
        <f t="shared" si="21"/>
        <v>14.587814217113344</v>
      </c>
      <c r="AO24" s="78">
        <f t="shared" si="11"/>
        <v>77.478479747631837</v>
      </c>
      <c r="AP24" s="86">
        <f>[1]!srE2Rng(AK$5,AL24)</f>
        <v>7.2961299346405228</v>
      </c>
      <c r="AQ24" s="78">
        <f t="shared" si="22"/>
        <v>42.273870065359475</v>
      </c>
      <c r="AR24" s="61">
        <f>[1]!srE2LETe(AK$6,AL24,0)</f>
        <v>29.449403006535945</v>
      </c>
      <c r="AS24" s="29">
        <f>[1]!srE2LETn(AK$6,AL24,0)</f>
        <v>2.3749869934640526</v>
      </c>
      <c r="AT24" s="52"/>
    </row>
    <row r="25" spans="2:46">
      <c r="B25" s="25"/>
      <c r="C25" s="25"/>
      <c r="D25" s="25"/>
      <c r="E25" s="25"/>
      <c r="F25" s="61">
        <v>0.4</v>
      </c>
      <c r="G25" s="149">
        <f t="shared" si="12"/>
        <v>10.055312000000001</v>
      </c>
      <c r="H25" s="66">
        <f>[1]!srLETt2E(G$6,G25,0,-1)</f>
        <v>0.10395919158361019</v>
      </c>
      <c r="I25" s="62">
        <f>[1]!srE2Rng(G$6,H25)</f>
        <v>5316.6941306755261</v>
      </c>
      <c r="J25" s="60">
        <f t="shared" si="13"/>
        <v>5.4087107707779936</v>
      </c>
      <c r="K25" s="78">
        <f t="shared" si="8"/>
        <v>9.677953754052627</v>
      </c>
      <c r="L25" s="86">
        <f>[1]!srE2Rng(G$5,H25)</f>
        <v>2.5465144186046511</v>
      </c>
      <c r="M25" s="78">
        <f t="shared" si="8"/>
        <v>6.0734855813953477</v>
      </c>
      <c r="N25" s="61">
        <f>[1]!srE2LETe(G$6,H25,0)</f>
        <v>9.7866136478405323</v>
      </c>
      <c r="O25" s="29">
        <f>[1]!srE2LETn(G$6,H25,0)</f>
        <v>0.26869835215946841</v>
      </c>
      <c r="P25" s="52"/>
      <c r="Q25" s="149">
        <f t="shared" si="14"/>
        <v>19.413120000000003</v>
      </c>
      <c r="R25" s="66">
        <f>[1]!srLETt2E(Q$6,Q25,0,-1)</f>
        <v>0.14387351105296156</v>
      </c>
      <c r="S25" s="62">
        <f>[1]!srE2Rng(Q$6,R25)</f>
        <v>9185.8574699484834</v>
      </c>
      <c r="T25" s="60">
        <f t="shared" si="15"/>
        <v>9.3448381673649461</v>
      </c>
      <c r="U25" s="78">
        <f t="shared" si="9"/>
        <v>18.112280883557403</v>
      </c>
      <c r="V25" s="86">
        <f>[1]!srE2Rng(Q$5,R25)</f>
        <v>4.3087824842587299</v>
      </c>
      <c r="W25" s="78">
        <f t="shared" si="16"/>
        <v>10.95121751574127</v>
      </c>
      <c r="X25" s="61">
        <f>[1]!srE2LETe(Q$6,R25,0)</f>
        <v>18.69293989696623</v>
      </c>
      <c r="Y25" s="29">
        <f>[1]!srE2LETn(Q$6,R25,0)</f>
        <v>0.72018010303377211</v>
      </c>
      <c r="Z25" s="52"/>
      <c r="AA25" s="149">
        <f t="shared" si="17"/>
        <v>31.170120000000004</v>
      </c>
      <c r="AB25" s="66">
        <f>[1]!srLETt2E(AA$6,AA25,0,-1)</f>
        <v>0.18197274468826194</v>
      </c>
      <c r="AC25" s="62">
        <f>[1]!srE2Rng(AA$6,AB25)</f>
        <v>11477.467816091954</v>
      </c>
      <c r="AD25" s="60">
        <f t="shared" si="18"/>
        <v>11.676109678753853</v>
      </c>
      <c r="AE25" s="78">
        <f t="shared" si="10"/>
        <v>51.346066134682218</v>
      </c>
      <c r="AF25" s="86">
        <f>[1]!srE2Rng(AA$5,AB25)</f>
        <v>5.5311011494252877</v>
      </c>
      <c r="AG25" s="78">
        <f t="shared" si="19"/>
        <v>28.338898850574708</v>
      </c>
      <c r="AH25" s="61">
        <f>[1]!srE2LETe(AA$6,AB25,0)</f>
        <v>29.941503448275864</v>
      </c>
      <c r="AI25" s="29">
        <f>[1]!srE2LETn(AA$6,AB25,0)</f>
        <v>1.2286165517241379</v>
      </c>
      <c r="AJ25" s="52"/>
      <c r="AK25" s="149">
        <f t="shared" si="20"/>
        <v>42.432520000000004</v>
      </c>
      <c r="AL25" s="66">
        <f>[1]!srLETt2E(AK$6,AK25,0,-1)</f>
        <v>0.24027104751369815</v>
      </c>
      <c r="AM25" s="62">
        <f>[1]!srE2Rng(AK$6,AL25)</f>
        <v>16987.345686598914</v>
      </c>
      <c r="AN25" s="60">
        <f t="shared" si="21"/>
        <v>17.281347642686875</v>
      </c>
      <c r="AO25" s="78">
        <f t="shared" si="11"/>
        <v>74.784946322058317</v>
      </c>
      <c r="AP25" s="86">
        <f>[1]!srE2Rng(AK$5,AL25)</f>
        <v>8.9540079413850151</v>
      </c>
      <c r="AQ25" s="78">
        <f t="shared" si="22"/>
        <v>40.615992058614985</v>
      </c>
      <c r="AR25" s="61">
        <f>[1]!srE2LETe(AK$6,AL25,0)</f>
        <v>40.504055211533924</v>
      </c>
      <c r="AS25" s="29">
        <f>[1]!srE2LETn(AK$6,AL25,0)</f>
        <v>1.9284647884660835</v>
      </c>
      <c r="AT25" s="52"/>
    </row>
    <row r="26" spans="2:46" s="108" customFormat="1">
      <c r="B26" s="25"/>
      <c r="C26" s="25"/>
      <c r="D26" s="25"/>
      <c r="E26" s="25"/>
      <c r="F26" s="141">
        <v>0.5</v>
      </c>
      <c r="G26" s="150">
        <f t="shared" si="12"/>
        <v>12.569139999999999</v>
      </c>
      <c r="H26" s="110">
        <f>[1]!srLETt2E(G$6,G26,0,-1)</f>
        <v>0.1386629269926323</v>
      </c>
      <c r="I26" s="111">
        <f>[1]!srE2Rng(G$6,H26)</f>
        <v>6338.8405894172811</v>
      </c>
      <c r="J26" s="112">
        <f t="shared" si="13"/>
        <v>6.4485476364745864</v>
      </c>
      <c r="K26" s="113">
        <f t="shared" si="8"/>
        <v>8.6381168883560342</v>
      </c>
      <c r="L26" s="114">
        <f>[1]!srE2Rng(G$5,H26)</f>
        <v>3.097676490288011</v>
      </c>
      <c r="M26" s="113">
        <f t="shared" si="8"/>
        <v>5.5223235097119883</v>
      </c>
      <c r="N26" s="109">
        <f>[1]!srE2LETe(G$6,H26,0)</f>
        <v>12.354661085063631</v>
      </c>
      <c r="O26" s="117">
        <f>[1]!srE2LETn(G$6,H26,0)</f>
        <v>0.2144789149363697</v>
      </c>
      <c r="P26" s="115"/>
      <c r="Q26" s="150">
        <f t="shared" si="14"/>
        <v>24.266400000000001</v>
      </c>
      <c r="R26" s="110">
        <f>[1]!srLETt2E(Q$6,Q26,0,-1)</f>
        <v>0.18601089053569175</v>
      </c>
      <c r="S26" s="111">
        <f>[1]!srE2Rng(Q$6,R26)</f>
        <v>10532.471033699356</v>
      </c>
      <c r="T26" s="112">
        <f t="shared" si="15"/>
        <v>10.714757727776007</v>
      </c>
      <c r="U26" s="113">
        <f t="shared" si="9"/>
        <v>16.742361323146341</v>
      </c>
      <c r="V26" s="114">
        <f>[1]!srE2Rng(Q$5,R26)</f>
        <v>5.0549829609996211</v>
      </c>
      <c r="W26" s="113">
        <f t="shared" si="16"/>
        <v>10.205017039000378</v>
      </c>
      <c r="X26" s="109">
        <f>[1]!srE2LETe(Q$6,R26,0)</f>
        <v>23.673634986747444</v>
      </c>
      <c r="Y26" s="117">
        <f>[1]!srE2LETn(Q$6,R26,0)</f>
        <v>0.59276501325255582</v>
      </c>
      <c r="Z26" s="115"/>
      <c r="AA26" s="150">
        <f t="shared" si="17"/>
        <v>38.962650000000004</v>
      </c>
      <c r="AB26" s="110">
        <f>[1]!srLETt2E(AA$6,AA26,0,-1)</f>
        <v>0.2399096993122117</v>
      </c>
      <c r="AC26" s="111">
        <f>[1]!srE2Rng(AA$6,AB26)</f>
        <v>13283.633025552932</v>
      </c>
      <c r="AD26" s="112">
        <f t="shared" si="18"/>
        <v>13.513534398346449</v>
      </c>
      <c r="AE26" s="113">
        <f t="shared" si="10"/>
        <v>49.50864141508962</v>
      </c>
      <c r="AF26" s="114">
        <f>[1]!srE2Rng(AA$5,AB26)</f>
        <v>6.6201866008159769</v>
      </c>
      <c r="AG26" s="113">
        <f t="shared" si="19"/>
        <v>27.249813399184021</v>
      </c>
      <c r="AH26" s="109">
        <f>[1]!srE2LETe(AA$6,AB26,0)</f>
        <v>37.964684775606621</v>
      </c>
      <c r="AI26" s="117">
        <f>[1]!srE2LETn(AA$6,AB26,0)</f>
        <v>0.9979652243933862</v>
      </c>
      <c r="AJ26" s="115"/>
      <c r="AK26" s="150">
        <f t="shared" si="20"/>
        <v>53.040649999999999</v>
      </c>
      <c r="AL26" s="110">
        <f>[1]!srLETt2E(AK$6,AK26,0,-1)</f>
        <v>0.31020940031924471</v>
      </c>
      <c r="AM26" s="111">
        <f>[1]!srE2Rng(AK$6,AL26)</f>
        <v>19381.132786885246</v>
      </c>
      <c r="AN26" s="112">
        <f t="shared" si="21"/>
        <v>19.71656429311755</v>
      </c>
      <c r="AO26" s="113">
        <f t="shared" si="11"/>
        <v>72.349729671627642</v>
      </c>
      <c r="AP26" s="114">
        <f>[1]!srE2Rng(AK$5,AL26)</f>
        <v>10.535570193740686</v>
      </c>
      <c r="AQ26" s="113">
        <f t="shared" si="22"/>
        <v>39.034429806259311</v>
      </c>
      <c r="AR26" s="109">
        <f>[1]!srE2LETe(AK$6,AL26,0)</f>
        <v>51.446763785394928</v>
      </c>
      <c r="AS26" s="117">
        <f>[1]!srE2LETn(AK$6,AL26,0)</f>
        <v>1.5938862146050672</v>
      </c>
      <c r="AT26" s="115"/>
    </row>
    <row r="27" spans="2:46" s="108" customFormat="1">
      <c r="B27" s="25"/>
      <c r="C27" s="25"/>
      <c r="D27" s="25"/>
      <c r="E27" s="25"/>
      <c r="F27" s="141">
        <v>0.6</v>
      </c>
      <c r="G27" s="150">
        <f t="shared" si="12"/>
        <v>15.082967999999997</v>
      </c>
      <c r="H27" s="110">
        <f>[1]!srLETt2E(G$6,G27,0,-1)</f>
        <v>0.17491760009532883</v>
      </c>
      <c r="I27" s="111">
        <f>[1]!srE2Rng(G$6,H27)</f>
        <v>7198.1542421353661</v>
      </c>
      <c r="J27" s="112">
        <f t="shared" si="13"/>
        <v>7.3227335299448866</v>
      </c>
      <c r="K27" s="113">
        <f t="shared" si="8"/>
        <v>7.763930994885734</v>
      </c>
      <c r="L27" s="114">
        <f>[1]!srE2Rng(G$5,H27)</f>
        <v>3.6088793612964722</v>
      </c>
      <c r="M27" s="113">
        <f t="shared" si="8"/>
        <v>5.0111206387035274</v>
      </c>
      <c r="N27" s="109">
        <f>[1]!srE2LETe(G$6,H27,0)</f>
        <v>14.904396806482362</v>
      </c>
      <c r="O27" s="117">
        <f>[1]!srE2LETn(G$6,H27,0)</f>
        <v>0.17857119351763587</v>
      </c>
      <c r="P27" s="115"/>
      <c r="Q27" s="150">
        <f t="shared" si="14"/>
        <v>29.119679999999999</v>
      </c>
      <c r="R27" s="110">
        <f>[1]!srLETt2E(Q$6,Q27,0,-1)</f>
        <v>0.2337078816076314</v>
      </c>
      <c r="S27" s="111">
        <f>[1]!srE2Rng(Q$6,R27)</f>
        <v>11771.281306237106</v>
      </c>
      <c r="T27" s="112">
        <f t="shared" si="15"/>
        <v>11.975008232947349</v>
      </c>
      <c r="U27" s="113">
        <f t="shared" si="9"/>
        <v>15.482110817974998</v>
      </c>
      <c r="V27" s="114">
        <f>[1]!srE2Rng(Q$5,R27)</f>
        <v>5.8036631699073871</v>
      </c>
      <c r="W27" s="113">
        <f t="shared" si="16"/>
        <v>9.4563368300926136</v>
      </c>
      <c r="X27" s="109">
        <f>[1]!srE2LETe(Q$6,R27,0)</f>
        <v>28.622495983847607</v>
      </c>
      <c r="Y27" s="117">
        <f>[1]!srE2LETn(Q$6,R27,0)</f>
        <v>0.49718401615239433</v>
      </c>
      <c r="Z27" s="115"/>
      <c r="AA27" s="150">
        <f t="shared" si="17"/>
        <v>46.755180000000003</v>
      </c>
      <c r="AB27" s="110">
        <f>[1]!srLETt2E(AA$6,AA27,0,-1)</f>
        <v>0.31468304558682686</v>
      </c>
      <c r="AC27" s="111">
        <f>[1]!srE2Rng(AA$6,AB27)</f>
        <v>15180.716515073162</v>
      </c>
      <c r="AD27" s="112">
        <f t="shared" si="18"/>
        <v>15.443450931184396</v>
      </c>
      <c r="AE27" s="113">
        <f t="shared" si="10"/>
        <v>47.578724882251677</v>
      </c>
      <c r="AF27" s="114">
        <f>[1]!srE2Rng(AA$5,AB27)</f>
        <v>7.8222741459556486</v>
      </c>
      <c r="AG27" s="113">
        <f t="shared" si="19"/>
        <v>26.047725854044348</v>
      </c>
      <c r="AH27" s="109">
        <f>[1]!srE2LETe(AA$6,AB27,0)</f>
        <v>45.943644875733888</v>
      </c>
      <c r="AI27" s="117">
        <f>[1]!srE2LETn(AA$6,AB27,0)</f>
        <v>0.81153512426611496</v>
      </c>
      <c r="AJ27" s="115"/>
      <c r="AK27" s="150">
        <f t="shared" si="20"/>
        <v>63.648779999999995</v>
      </c>
      <c r="AL27" s="110">
        <f>[1]!srLETt2E(AK$6,AK27,0,-1)</f>
        <v>0.40132254485670238</v>
      </c>
      <c r="AM27" s="111">
        <f>[1]!srE2Rng(AK$6,AL27)</f>
        <v>21923.173080463999</v>
      </c>
      <c r="AN27" s="112">
        <f t="shared" si="21"/>
        <v>22.302599971999854</v>
      </c>
      <c r="AO27" s="113">
        <f t="shared" si="11"/>
        <v>69.763693992745331</v>
      </c>
      <c r="AP27" s="114">
        <f>[1]!srE2Rng(AK$5,AL27)</f>
        <v>12.235448720309334</v>
      </c>
      <c r="AQ27" s="113">
        <f t="shared" si="22"/>
        <v>37.334551279690665</v>
      </c>
      <c r="AR27" s="109">
        <f>[1]!srE2LETe(AK$6,AL27,0)</f>
        <v>62.336721524581094</v>
      </c>
      <c r="AS27" s="117">
        <f>[1]!srE2LETn(AK$6,AL27,0)</f>
        <v>1.3120584754188918</v>
      </c>
      <c r="AT27" s="115"/>
    </row>
    <row r="28" spans="2:46" s="108" customFormat="1">
      <c r="B28" s="25"/>
      <c r="C28" s="25"/>
      <c r="D28" s="25"/>
      <c r="E28" s="25"/>
      <c r="F28" s="141">
        <v>0.7</v>
      </c>
      <c r="G28" s="150">
        <f t="shared" si="12"/>
        <v>17.596795999999998</v>
      </c>
      <c r="H28" s="110">
        <f>[1]!srLETt2E(G$6,G28,0,-1)</f>
        <v>0.21738087968011627</v>
      </c>
      <c r="I28" s="111">
        <f>[1]!srE2Rng(G$6,H28)</f>
        <v>8056.7605379861861</v>
      </c>
      <c r="J28" s="112">
        <f t="shared" si="13"/>
        <v>8.1961998242408267</v>
      </c>
      <c r="K28" s="113">
        <f t="shared" si="8"/>
        <v>6.8904647005897939</v>
      </c>
      <c r="L28" s="114">
        <f>[1]!srE2Rng(G$5,H28)</f>
        <v>4.1485705561613955</v>
      </c>
      <c r="M28" s="113">
        <f t="shared" si="8"/>
        <v>4.4714294438386037</v>
      </c>
      <c r="N28" s="109">
        <f>[1]!srE2LETe(G$6,H28,0)</f>
        <v>17.446376910214465</v>
      </c>
      <c r="O28" s="117">
        <f>[1]!srE2LETn(G$6,H28,0)</f>
        <v>0.15041908978553256</v>
      </c>
      <c r="P28" s="115"/>
      <c r="Q28" s="150">
        <f t="shared" si="14"/>
        <v>33.97296</v>
      </c>
      <c r="R28" s="110">
        <f>[1]!srLETt2E(Q$6,Q28,0,-1)</f>
        <v>0.29359535149963817</v>
      </c>
      <c r="S28" s="111">
        <f>[1]!srE2Rng(Q$6,R28)</f>
        <v>13086.178362440462</v>
      </c>
      <c r="T28" s="112">
        <f t="shared" si="15"/>
        <v>13.312662364547307</v>
      </c>
      <c r="U28" s="113">
        <f t="shared" si="9"/>
        <v>14.14445668637504</v>
      </c>
      <c r="V28" s="114">
        <f>[1]!srE2Rng(Q$5,R28)</f>
        <v>6.6359215241551377</v>
      </c>
      <c r="W28" s="113">
        <f t="shared" si="16"/>
        <v>8.6240784758448612</v>
      </c>
      <c r="X28" s="109">
        <f>[1]!srE2LETe(Q$6,R28,0)</f>
        <v>33.557160535268764</v>
      </c>
      <c r="Y28" s="117">
        <f>[1]!srE2LETn(Q$6,R28,0)</f>
        <v>0.41579946473123158</v>
      </c>
      <c r="Z28" s="115"/>
      <c r="AA28" s="150">
        <f t="shared" si="17"/>
        <v>54.547710000000002</v>
      </c>
      <c r="AB28" s="110">
        <f>[1]!srLETt2E(AA$6,AA28,0,-1)</f>
        <v>0.42182486260871577</v>
      </c>
      <c r="AC28" s="111">
        <f>[1]!srE2Rng(AA$6,AB28)</f>
        <v>17492.132279652571</v>
      </c>
      <c r="AD28" s="112">
        <f t="shared" si="18"/>
        <v>17.794870635676268</v>
      </c>
      <c r="AE28" s="113">
        <f t="shared" si="10"/>
        <v>45.227305177759803</v>
      </c>
      <c r="AF28" s="114">
        <f>[1]!srE2Rng(AA$5,AB28)</f>
        <v>9.3153646589776464</v>
      </c>
      <c r="AG28" s="113">
        <f t="shared" si="19"/>
        <v>24.554635341022351</v>
      </c>
      <c r="AH28" s="109">
        <f>[1]!srE2LETe(AA$6,AB28,0)</f>
        <v>53.902779201670704</v>
      </c>
      <c r="AI28" s="117">
        <f>[1]!srE2LETn(AA$6,AB28,0)</f>
        <v>0.64493079832929889</v>
      </c>
      <c r="AJ28" s="115"/>
      <c r="AK28" s="150">
        <f t="shared" si="20"/>
        <v>74.256909999999991</v>
      </c>
      <c r="AL28" s="110">
        <f>[1]!srLETt2E(AK$6,AK28,0,-1)</f>
        <v>0.53058345879874536</v>
      </c>
      <c r="AM28" s="111">
        <f>[1]!srE2Rng(AK$6,AL28)</f>
        <v>24972.268493552165</v>
      </c>
      <c r="AN28" s="112">
        <f t="shared" si="21"/>
        <v>25.404466431976996</v>
      </c>
      <c r="AO28" s="113">
        <f t="shared" si="11"/>
        <v>66.661827532768186</v>
      </c>
      <c r="AP28" s="114">
        <f>[1]!srE2Rng(AK$5,AL28)</f>
        <v>14.250320720984757</v>
      </c>
      <c r="AQ28" s="113">
        <f t="shared" si="22"/>
        <v>35.319679279015247</v>
      </c>
      <c r="AR28" s="109">
        <f>[1]!srE2LETe(AK$6,AL28,0)</f>
        <v>73.199204542790142</v>
      </c>
      <c r="AS28" s="117">
        <f>[1]!srE2LETn(AK$6,AL28,0)</f>
        <v>1.0577054572098479</v>
      </c>
      <c r="AT28" s="115"/>
    </row>
    <row r="29" spans="2:46" s="108" customFormat="1">
      <c r="B29" s="25"/>
      <c r="C29" s="25"/>
      <c r="D29" s="25"/>
      <c r="E29" s="25"/>
      <c r="F29" s="141">
        <v>0.8</v>
      </c>
      <c r="G29" s="150">
        <f t="shared" si="12"/>
        <v>20.110624000000001</v>
      </c>
      <c r="H29" s="110">
        <f>[1]!srLETt2E(G$6,G29,0,-1)</f>
        <v>0.27197117647058833</v>
      </c>
      <c r="I29" s="111">
        <f>[1]!srE2Rng(G$6,H29)</f>
        <v>9019.1157647058844</v>
      </c>
      <c r="J29" s="112">
        <f t="shared" si="13"/>
        <v>9.1752106441489456</v>
      </c>
      <c r="K29" s="113">
        <f t="shared" si="8"/>
        <v>5.911453880681675</v>
      </c>
      <c r="L29" s="114">
        <f>[1]!srE2Rng(G$5,H29)</f>
        <v>4.7760771764705892</v>
      </c>
      <c r="M29" s="113">
        <f t="shared" si="8"/>
        <v>3.8439228235294101</v>
      </c>
      <c r="N29" s="109">
        <f>[1]!srE2LETe(G$6,H29,0)</f>
        <v>19.985212470588237</v>
      </c>
      <c r="O29" s="117">
        <f>[1]!srE2LETn(G$6,H29,0)</f>
        <v>0.12541152941176467</v>
      </c>
      <c r="P29" s="115"/>
      <c r="Q29" s="150">
        <f t="shared" si="14"/>
        <v>38.826240000000006</v>
      </c>
      <c r="R29" s="110">
        <f>[1]!srLETt2E(Q$6,Q29,0,-1)</f>
        <v>0.37908350621169873</v>
      </c>
      <c r="S29" s="111">
        <f>[1]!srE2Rng(Q$6,R29)</f>
        <v>14718.091136705061</v>
      </c>
      <c r="T29" s="112">
        <f t="shared" si="15"/>
        <v>14.972818841898331</v>
      </c>
      <c r="U29" s="113">
        <f t="shared" si="9"/>
        <v>12.484300209024017</v>
      </c>
      <c r="V29" s="114">
        <f>[1]!srE2Rng(Q$5,R29)</f>
        <v>7.6880220330495774</v>
      </c>
      <c r="W29" s="113">
        <f t="shared" si="16"/>
        <v>7.5719779669504224</v>
      </c>
      <c r="X29" s="109">
        <f>[1]!srE2LETe(Q$6,R29,0)</f>
        <v>38.486832248372565</v>
      </c>
      <c r="Y29" s="117">
        <f>[1]!srE2LETn(Q$6,R29,0)</f>
        <v>0.33940775162744102</v>
      </c>
      <c r="Z29" s="115"/>
      <c r="AA29" s="150">
        <f t="shared" si="17"/>
        <v>62.340240000000009</v>
      </c>
      <c r="AB29" s="110">
        <f>[1]!srLETt2E(AA$6,AA29,0,-1)</f>
        <v>0.59679687626577682</v>
      </c>
      <c r="AC29" s="111">
        <f>[1]!srE2Rng(AA$6,AB29)</f>
        <v>20753.697522723225</v>
      </c>
      <c r="AD29" s="112">
        <f t="shared" si="18"/>
        <v>21.112884165551829</v>
      </c>
      <c r="AE29" s="113">
        <f t="shared" si="10"/>
        <v>41.909291647884245</v>
      </c>
      <c r="AF29" s="114">
        <f>[1]!srE2Rng(AA$5,AB29)</f>
        <v>11.404838139369097</v>
      </c>
      <c r="AG29" s="113">
        <f t="shared" si="19"/>
        <v>22.4651618606309</v>
      </c>
      <c r="AH29" s="109">
        <f>[1]!srE2LETe(AA$6,AB29,0)</f>
        <v>61.850275672785607</v>
      </c>
      <c r="AI29" s="117">
        <f>[1]!srE2LETn(AA$6,AB29,0)</f>
        <v>0.48996432721440014</v>
      </c>
      <c r="AJ29" s="115"/>
      <c r="AK29" s="150">
        <f t="shared" si="20"/>
        <v>84.865040000000008</v>
      </c>
      <c r="AL29" s="110">
        <f>[1]!srLETt2E(AK$6,AK29,0,-1)</f>
        <v>0.73209533913757485</v>
      </c>
      <c r="AM29" s="111">
        <f>[1]!srE2Rng(AK$6,AL29)</f>
        <v>29093.83261739002</v>
      </c>
      <c r="AN29" s="112">
        <f t="shared" si="21"/>
        <v>29.597362942693056</v>
      </c>
      <c r="AO29" s="113">
        <f t="shared" si="11"/>
        <v>62.468931022052132</v>
      </c>
      <c r="AP29" s="114">
        <f>[1]!srE2Rng(AK$5,AL29)</f>
        <v>16.883366908606135</v>
      </c>
      <c r="AQ29" s="113">
        <f t="shared" si="22"/>
        <v>32.686633091393865</v>
      </c>
      <c r="AR29" s="109">
        <f>[1]!srE2LETe(AK$6,AL29,0)</f>
        <v>84.044115834691169</v>
      </c>
      <c r="AS29" s="117">
        <f>[1]!srE2LETn(AK$6,AL29,0)</f>
        <v>0.82092416530884293</v>
      </c>
      <c r="AT29" s="115"/>
    </row>
    <row r="30" spans="2:46">
      <c r="B30" s="25"/>
      <c r="C30" s="25"/>
      <c r="D30" s="25"/>
      <c r="E30" s="25"/>
      <c r="F30" s="61">
        <v>0.85</v>
      </c>
      <c r="G30" s="149">
        <f t="shared" si="12"/>
        <v>21.367537999999996</v>
      </c>
      <c r="H30" s="66">
        <f>[1]!srLETt2E(G$6,G30,0,-1)</f>
        <v>0.30927521495837301</v>
      </c>
      <c r="I30" s="62">
        <f>[1]!srE2Rng(G$6,H30)</f>
        <v>9610.9832673672699</v>
      </c>
      <c r="J30" s="60">
        <f t="shared" si="13"/>
        <v>9.777321666118036</v>
      </c>
      <c r="K30" s="78">
        <f t="shared" si="8"/>
        <v>5.3093428587125846</v>
      </c>
      <c r="L30" s="86">
        <f>[1]!srE2Rng(G$5,H30)</f>
        <v>5.1764622355670795</v>
      </c>
      <c r="M30" s="78">
        <f t="shared" si="8"/>
        <v>3.4435377644329197</v>
      </c>
      <c r="N30" s="61">
        <f>[1]!srE2LETe(G$6,H30,0)</f>
        <v>21.25454636276784</v>
      </c>
      <c r="O30" s="29">
        <f>[1]!srE2LETn(G$6,H30,0)</f>
        <v>0.11299163723215508</v>
      </c>
      <c r="P30" s="52"/>
      <c r="Q30" s="149">
        <f t="shared" si="14"/>
        <v>41.252879999999998</v>
      </c>
      <c r="R30" s="66">
        <f>[1]!srLETt2E(Q$6,Q30,0,-1)</f>
        <v>0.44036539592095131</v>
      </c>
      <c r="S30" s="62">
        <f>[1]!srE2Rng(Q$6,R30)</f>
        <v>15778.138651471982</v>
      </c>
      <c r="T30" s="60">
        <f t="shared" si="15"/>
        <v>16.051212721579311</v>
      </c>
      <c r="U30" s="78">
        <f t="shared" si="9"/>
        <v>11.405906329343036</v>
      </c>
      <c r="V30" s="86">
        <f>[1]!srE2Rng(Q$5,R30)</f>
        <v>8.3827715099715068</v>
      </c>
      <c r="W30" s="78">
        <f t="shared" si="16"/>
        <v>6.877228490028493</v>
      </c>
      <c r="X30" s="61">
        <f>[1]!srE2LETe(Q$6,R30,0)</f>
        <v>40.952016714150041</v>
      </c>
      <c r="Y30" s="29">
        <f>[1]!srE2LETn(Q$6,R30,0)</f>
        <v>0.30086328584995264</v>
      </c>
      <c r="Z30" s="52"/>
      <c r="AA30" s="149">
        <f t="shared" si="17"/>
        <v>66.236505000000008</v>
      </c>
      <c r="AB30" s="66">
        <f>[1]!srLETt2E(AA$6,AA30,0,-1)</f>
        <v>0.73275500882183131</v>
      </c>
      <c r="AC30" s="62">
        <f>[1]!srE2Rng(AA$6,AB30)</f>
        <v>23060.457645560218</v>
      </c>
      <c r="AD30" s="60">
        <f t="shared" si="18"/>
        <v>23.459567652571302</v>
      </c>
      <c r="AE30" s="78">
        <f t="shared" si="10"/>
        <v>39.56260816086477</v>
      </c>
      <c r="AF30" s="86">
        <f>[1]!srE2Rng(AA$5,AB30)</f>
        <v>12.854445570829576</v>
      </c>
      <c r="AG30" s="78">
        <f t="shared" si="19"/>
        <v>21.015554429170422</v>
      </c>
      <c r="AH30" s="61">
        <f>[1]!srE2LETe(AA$6,AB30,0)</f>
        <v>65.820942943580491</v>
      </c>
      <c r="AI30" s="29">
        <f>[1]!srE2LETn(AA$6,AB30,0)</f>
        <v>0.41556205641951055</v>
      </c>
      <c r="AJ30" s="52"/>
      <c r="AK30" s="149">
        <f t="shared" si="20"/>
        <v>90.169105000000002</v>
      </c>
      <c r="AL30" s="66">
        <f>[1]!srLETt2E(AK$6,AK30,0,-1)</f>
        <v>0.88887966506989924</v>
      </c>
      <c r="AM30" s="62">
        <f>[1]!srE2Rng(AK$6,AL30)</f>
        <v>32020.055049726852</v>
      </c>
      <c r="AN30" s="60">
        <f t="shared" si="21"/>
        <v>32.574229845032889</v>
      </c>
      <c r="AO30" s="78">
        <f t="shared" si="11"/>
        <v>59.492064119712296</v>
      </c>
      <c r="AP30" s="86">
        <f>[1]!srE2Rng(AK$5,AL30)</f>
        <v>18.681011171032356</v>
      </c>
      <c r="AQ30" s="78">
        <f t="shared" si="22"/>
        <v>30.888988828967644</v>
      </c>
      <c r="AR30" s="61">
        <f>[1]!srE2LETe(AK$6,AL30,0)</f>
        <v>89.465956926740446</v>
      </c>
      <c r="AS30" s="29">
        <f>[1]!srE2LETn(AK$6,AL30,0)</f>
        <v>0.70314807325956008</v>
      </c>
      <c r="AT30" s="52"/>
    </row>
    <row r="31" spans="2:46" s="108" customFormat="1">
      <c r="B31" s="25"/>
      <c r="C31" s="25"/>
      <c r="D31" s="25"/>
      <c r="E31" s="25"/>
      <c r="F31" s="141">
        <v>0.9</v>
      </c>
      <c r="G31" s="150">
        <f t="shared" si="12"/>
        <v>22.624451999999998</v>
      </c>
      <c r="H31" s="110">
        <f>[1]!srLETt2E(G$6,G31,0,-1)</f>
        <v>0.35904266286031472</v>
      </c>
      <c r="I31" s="111">
        <f>[1]!srE2Rng(G$6,H31)</f>
        <v>10360.214345188531</v>
      </c>
      <c r="J31" s="112">
        <f t="shared" si="13"/>
        <v>10.539519772838647</v>
      </c>
      <c r="K31" s="113">
        <f t="shared" si="8"/>
        <v>4.5471447519919739</v>
      </c>
      <c r="L31" s="114">
        <f>[1]!srE2Rng(G$5,H31)</f>
        <v>5.686809563459021</v>
      </c>
      <c r="M31" s="113">
        <f t="shared" si="8"/>
        <v>2.9331904365409782</v>
      </c>
      <c r="N31" s="109">
        <f>[1]!srE2LETe(G$6,H31,0)</f>
        <v>22.524470322350421</v>
      </c>
      <c r="O31" s="117">
        <f>[1]!srE2LETn(G$6,H31,0)</f>
        <v>9.9981677649577744E-2</v>
      </c>
      <c r="P31" s="115"/>
      <c r="Q31" s="150">
        <f t="shared" si="14"/>
        <v>43.679520000000004</v>
      </c>
      <c r="R31" s="110">
        <f>[1]!srLETt2E(Q$6,Q31,0,-1)</f>
        <v>0.52678492818152101</v>
      </c>
      <c r="S31" s="111">
        <f>[1]!srE2Rng(Q$6,R31)</f>
        <v>17195.987321711571</v>
      </c>
      <c r="T31" s="112">
        <f t="shared" si="15"/>
        <v>17.493600262704184</v>
      </c>
      <c r="U31" s="113">
        <f t="shared" si="9"/>
        <v>9.9635187882181633</v>
      </c>
      <c r="V31" s="114">
        <f>[1]!srE2Rng(Q$5,R31)</f>
        <v>9.2969918119387227</v>
      </c>
      <c r="W31" s="113">
        <f t="shared" si="16"/>
        <v>5.9630081880612771</v>
      </c>
      <c r="X31" s="109">
        <f>[1]!srE2LETe(Q$6,R31,0)</f>
        <v>43.41897966191231</v>
      </c>
      <c r="Y31" s="117">
        <f>[1]!srE2LETn(Q$6,R31,0)</f>
        <v>0.26054033808769145</v>
      </c>
      <c r="Z31" s="115"/>
      <c r="AA31" s="150">
        <f t="shared" si="17"/>
        <v>70.132770000000008</v>
      </c>
      <c r="AB31" s="110">
        <f>[1]!srLETt2E(AA$6,AA31,0,-1)</f>
        <v>0.93675517700700517</v>
      </c>
      <c r="AC31" s="111">
        <f>[1]!srE2Rng(AA$6,AB31)</f>
        <v>26330.898637061113</v>
      </c>
      <c r="AD31" s="112">
        <f t="shared" si="18"/>
        <v>26.786610544481512</v>
      </c>
      <c r="AE31" s="113">
        <f t="shared" si="10"/>
        <v>36.235565268954559</v>
      </c>
      <c r="AF31" s="114">
        <f>[1]!srE2Rng(AA$5,AB31)</f>
        <v>14.855617835544727</v>
      </c>
      <c r="AG31" s="113">
        <f t="shared" si="19"/>
        <v>19.01438216445527</v>
      </c>
      <c r="AH31" s="109">
        <f>[1]!srE2LETe(AA$6,AB31,0)</f>
        <v>69.792640220236493</v>
      </c>
      <c r="AI31" s="117">
        <f>[1]!srE2LETn(AA$6,AB31,0)</f>
        <v>0.34012977976351644</v>
      </c>
      <c r="AJ31" s="115"/>
      <c r="AK31" s="150">
        <f t="shared" si="20"/>
        <v>95.473169999999996</v>
      </c>
      <c r="AL31" s="110">
        <f>[1]!srLETt2E(AK$6,AK31,0,-1)</f>
        <v>1.1339503679585481</v>
      </c>
      <c r="AM31" s="111">
        <f>[1]!srE2Rng(AK$6,AL31)</f>
        <v>36328.163578929387</v>
      </c>
      <c r="AN31" s="112">
        <f t="shared" si="21"/>
        <v>36.956899306707875</v>
      </c>
      <c r="AO31" s="113">
        <f t="shared" si="11"/>
        <v>55.10939465803731</v>
      </c>
      <c r="AP31" s="114">
        <f>[1]!srE2Rng(AK$5,AL31)</f>
        <v>21.236832280372234</v>
      </c>
      <c r="AQ31" s="113">
        <f t="shared" si="22"/>
        <v>28.333167719627767</v>
      </c>
      <c r="AR31" s="109">
        <f>[1]!srE2LETe(AK$6,AL31,0)</f>
        <v>94.895269358832053</v>
      </c>
      <c r="AS31" s="117">
        <f>[1]!srE2LETn(AK$6,AL31,0)</f>
        <v>0.57790064116793327</v>
      </c>
      <c r="AT31" s="115"/>
    </row>
    <row r="32" spans="2:46">
      <c r="B32" s="25"/>
      <c r="C32" s="25"/>
      <c r="D32" s="25"/>
      <c r="E32" s="25"/>
      <c r="F32" s="61">
        <v>0.92</v>
      </c>
      <c r="G32" s="149">
        <f t="shared" si="12"/>
        <v>23.127217599999998</v>
      </c>
      <c r="H32" s="66">
        <f>[1]!srLETt2E(G$6,G32,0,-1)</f>
        <v>0.38539042780625726</v>
      </c>
      <c r="I32" s="62">
        <f>[1]!srE2Rng(G$6,H32)</f>
        <v>10739.622160410105</v>
      </c>
      <c r="J32" s="60">
        <f t="shared" si="13"/>
        <v>10.925494042990149</v>
      </c>
      <c r="K32" s="78">
        <f t="shared" si="8"/>
        <v>4.1611704818404718</v>
      </c>
      <c r="L32" s="86">
        <f>[1]!srE2Rng(G$5,H32)</f>
        <v>5.9397481069400699</v>
      </c>
      <c r="M32" s="78">
        <f t="shared" si="8"/>
        <v>2.6802518930599293</v>
      </c>
      <c r="N32" s="61">
        <f>[1]!srE2LETe(G$6,H32,0)</f>
        <v>23.032871529390128</v>
      </c>
      <c r="O32" s="29">
        <f>[1]!srE2LETn(G$6,H32,0)</f>
        <v>9.4346070609871061E-2</v>
      </c>
      <c r="P32" s="52"/>
      <c r="Q32" s="149">
        <f t="shared" si="14"/>
        <v>44.650176000000002</v>
      </c>
      <c r="R32" s="66">
        <f>[1]!srLETt2E(Q$6,Q32,0,-1)</f>
        <v>0.57357425988617705</v>
      </c>
      <c r="S32" s="62">
        <f>[1]!srE2Rng(Q$6,R32)</f>
        <v>17931.524236461632</v>
      </c>
      <c r="T32" s="60">
        <f t="shared" si="15"/>
        <v>18.241867199889832</v>
      </c>
      <c r="U32" s="78">
        <f t="shared" si="9"/>
        <v>9.2152518510325159</v>
      </c>
      <c r="V32" s="86">
        <f>[1]!srE2Rng(Q$5,R32)</f>
        <v>9.7652680639917868</v>
      </c>
      <c r="W32" s="78">
        <f t="shared" si="16"/>
        <v>5.494731936008213</v>
      </c>
      <c r="X32" s="61">
        <f>[1]!srE2LETe(Q$6,R32,0)</f>
        <v>44.406896603644455</v>
      </c>
      <c r="Y32" s="29">
        <f>[1]!srE2LETn(Q$6,R32,0)</f>
        <v>0.24327939635554796</v>
      </c>
      <c r="Z32" s="52"/>
      <c r="AA32" s="149">
        <f t="shared" si="17"/>
        <v>71.691276000000016</v>
      </c>
      <c r="AB32" s="66">
        <f>[1]!srLETt2E(AA$6,AA32,0,-1)</f>
        <v>1.054451042439871</v>
      </c>
      <c r="AC32" s="62">
        <f>[1]!srE2Rng(AA$6,AB32)</f>
        <v>28145.754361839307</v>
      </c>
      <c r="AD32" s="60">
        <f t="shared" si="18"/>
        <v>28.632876187144827</v>
      </c>
      <c r="AE32" s="78">
        <f t="shared" si="10"/>
        <v>34.389299626291248</v>
      </c>
      <c r="AF32" s="86">
        <f>[1]!srE2Rng(AA$5,AB32)</f>
        <v>15.933940094542345</v>
      </c>
      <c r="AG32" s="78">
        <f t="shared" si="19"/>
        <v>17.936059905457654</v>
      </c>
      <c r="AH32" s="61">
        <f>[1]!srE2LETe(AA$6,AB32,0)</f>
        <v>71.382816072195979</v>
      </c>
      <c r="AI32" s="29">
        <f>[1]!srE2LETn(AA$6,AB32,0)</f>
        <v>0.30845992780403908</v>
      </c>
      <c r="AJ32" s="52"/>
      <c r="AK32" s="149">
        <f t="shared" si="20"/>
        <v>97.594796000000002</v>
      </c>
      <c r="AL32" s="66">
        <f>[1]!srLETt2E(AK$6,AK32,0,-1)</f>
        <v>1.2854883666496053</v>
      </c>
      <c r="AM32" s="62">
        <f>[1]!srE2Rng(AK$6,AL32)</f>
        <v>38884.854457901645</v>
      </c>
      <c r="AN32" s="60">
        <f t="shared" si="21"/>
        <v>39.557839130359177</v>
      </c>
      <c r="AO32" s="78">
        <f t="shared" si="11"/>
        <v>52.508454834386008</v>
      </c>
      <c r="AP32" s="86">
        <f>[1]!srE2Rng(AK$5,AL32)</f>
        <v>22.705577995038666</v>
      </c>
      <c r="AQ32" s="78">
        <f t="shared" si="22"/>
        <v>26.864422004961334</v>
      </c>
      <c r="AR32" s="61">
        <f>[1]!srE2LETe(AK$6,AL32,0)</f>
        <v>97.072804144170433</v>
      </c>
      <c r="AS32" s="29">
        <f>[1]!srE2LETn(AK$6,AL32,0)</f>
        <v>0.52199185582956376</v>
      </c>
      <c r="AT32" s="52"/>
    </row>
    <row r="33" spans="2:46">
      <c r="B33" s="25"/>
      <c r="C33" s="25"/>
      <c r="D33" s="25"/>
      <c r="E33" s="25"/>
      <c r="F33" s="61">
        <v>0.94</v>
      </c>
      <c r="G33" s="149">
        <f t="shared" si="12"/>
        <v>23.629983199999998</v>
      </c>
      <c r="H33" s="66">
        <f>[1]!srLETt2E(G$6,G33,0,-1)</f>
        <v>0.4174771615008156</v>
      </c>
      <c r="I33" s="62">
        <f>[1]!srE2Rng(G$6,H33)</f>
        <v>11194.680261011419</v>
      </c>
      <c r="J33" s="60">
        <f t="shared" si="13"/>
        <v>11.388427886758096</v>
      </c>
      <c r="K33" s="78">
        <f t="shared" si="8"/>
        <v>3.6982366380725242</v>
      </c>
      <c r="L33" s="86">
        <f>[1]!srE2Rng(G$5,H33)</f>
        <v>6.2477807504078298</v>
      </c>
      <c r="M33" s="78">
        <f t="shared" si="8"/>
        <v>2.3722192495921695</v>
      </c>
      <c r="N33" s="61">
        <f>[1]!srE2LETe(G$6,H33,0)</f>
        <v>23.541671125611742</v>
      </c>
      <c r="O33" s="29">
        <f>[1]!srE2LETn(G$6,H33,0)</f>
        <v>8.8312074388254502E-2</v>
      </c>
      <c r="P33" s="52"/>
      <c r="Q33" s="149">
        <f t="shared" si="14"/>
        <v>45.620832</v>
      </c>
      <c r="R33" s="66">
        <f>[1]!srLETt2E(Q$6,Q33,0,-1)</f>
        <v>0.6308122328181518</v>
      </c>
      <c r="S33" s="62">
        <f>[1]!srE2Rng(Q$6,R33)</f>
        <v>18813.857415323906</v>
      </c>
      <c r="T33" s="60">
        <f t="shared" si="15"/>
        <v>19.139471021105102</v>
      </c>
      <c r="U33" s="78">
        <f t="shared" si="9"/>
        <v>8.3176480298172457</v>
      </c>
      <c r="V33" s="86">
        <f>[1]!srE2Rng(Q$5,R33)</f>
        <v>10.326634396580072</v>
      </c>
      <c r="W33" s="78">
        <f t="shared" si="16"/>
        <v>4.9333656034199276</v>
      </c>
      <c r="X33" s="61">
        <f>[1]!srE2LETe(Q$6,R33,0)</f>
        <v>45.395810325550805</v>
      </c>
      <c r="Y33" s="29">
        <f>[1]!srE2LETn(Q$6,R33,0)</f>
        <v>0.22502167444919438</v>
      </c>
      <c r="Z33" s="52"/>
      <c r="AA33" s="149">
        <f t="shared" si="17"/>
        <v>73.249781999999996</v>
      </c>
      <c r="AB33" s="66">
        <f>[1]!srLETt2E(AA$6,AA33,0,-1)</f>
        <v>1.2155078452509271</v>
      </c>
      <c r="AC33" s="62">
        <f>[1]!srE2Rng(AA$6,AB33)</f>
        <v>30580.515019762828</v>
      </c>
      <c r="AD33" s="60">
        <f t="shared" si="18"/>
        <v>31.1097755293126</v>
      </c>
      <c r="AE33" s="78">
        <f t="shared" si="10"/>
        <v>31.912400284123471</v>
      </c>
      <c r="AF33" s="86">
        <f>[1]!srE2Rng(AA$5,AB33)</f>
        <v>17.348610276679832</v>
      </c>
      <c r="AG33" s="78">
        <f t="shared" si="19"/>
        <v>16.521389723320166</v>
      </c>
      <c r="AH33" s="61">
        <f>[1]!srE2LETe(AA$6,AB33,0)</f>
        <v>72.975481027667982</v>
      </c>
      <c r="AI33" s="29">
        <f>[1]!srE2LETn(AA$6,AB33,0)</f>
        <v>0.274300972332016</v>
      </c>
      <c r="AJ33" s="52"/>
      <c r="AK33" s="149">
        <f t="shared" si="20"/>
        <v>99.716421999999994</v>
      </c>
      <c r="AL33" s="66">
        <f>[1]!srLETt2E(AK$6,AK33,0,-1)</f>
        <v>1.5074943364860018</v>
      </c>
      <c r="AM33" s="62">
        <f>[1]!srE2Rng(AK$6,AL33)</f>
        <v>42567.225726455261</v>
      </c>
      <c r="AN33" s="60">
        <f t="shared" si="21"/>
        <v>43.303941624259608</v>
      </c>
      <c r="AO33" s="78">
        <f t="shared" si="11"/>
        <v>48.762352340485577</v>
      </c>
      <c r="AP33" s="86">
        <f>[1]!srE2Rng(AK$5,AL33)</f>
        <v>24.769704230951245</v>
      </c>
      <c r="AQ33" s="78">
        <f t="shared" si="22"/>
        <v>24.800295769048756</v>
      </c>
      <c r="AR33" s="61">
        <f>[1]!srE2LETe(AK$6,AL33,0)</f>
        <v>99.258170354945563</v>
      </c>
      <c r="AS33" s="29">
        <f>[1]!srE2LETn(AK$6,AL33,0)</f>
        <v>0.45825164505442523</v>
      </c>
      <c r="AT33" s="52"/>
    </row>
    <row r="34" spans="2:46">
      <c r="B34" s="25"/>
      <c r="C34" s="25"/>
      <c r="D34" s="25"/>
      <c r="E34" s="25"/>
      <c r="F34" s="61">
        <v>0.96</v>
      </c>
      <c r="G34" s="149">
        <f t="shared" si="12"/>
        <v>24.132748799999998</v>
      </c>
      <c r="H34" s="66">
        <f>[1]!srLETt2E(G$6,G34,0,-1)</f>
        <v>0.45990893239455244</v>
      </c>
      <c r="I34" s="62">
        <f>[1]!srE2Rng(G$6,H34)</f>
        <v>11784.761480565912</v>
      </c>
      <c r="J34" s="60">
        <f t="shared" si="13"/>
        <v>11.988721710212012</v>
      </c>
      <c r="K34" s="78">
        <f t="shared" si="8"/>
        <v>3.0979428146186088</v>
      </c>
      <c r="L34" s="86">
        <f>[1]!srE2Rng(G$5,H34)</f>
        <v>6.6391803915509717</v>
      </c>
      <c r="M34" s="78">
        <f t="shared" si="8"/>
        <v>1.9808196084490275</v>
      </c>
      <c r="N34" s="61">
        <f>[1]!srE2LETe(G$6,H34,0)</f>
        <v>24.051162178029884</v>
      </c>
      <c r="O34" s="29">
        <f>[1]!srE2LETn(G$6,H34,0)</f>
        <v>8.1586621970115042E-2</v>
      </c>
      <c r="P34" s="52"/>
      <c r="Q34" s="149">
        <f t="shared" si="14"/>
        <v>46.591487999999998</v>
      </c>
      <c r="R34" s="66">
        <f>[1]!srLETt2E(Q$6,Q34,0,-1)</f>
        <v>0.70572340425531888</v>
      </c>
      <c r="S34" s="62">
        <f>[1]!srE2Rng(Q$6,R34)</f>
        <v>19950.537872340421</v>
      </c>
      <c r="T34" s="60">
        <f t="shared" si="15"/>
        <v>20.295824138228458</v>
      </c>
      <c r="U34" s="78">
        <f t="shared" si="9"/>
        <v>7.1612949126938901</v>
      </c>
      <c r="V34" s="86">
        <f>[1]!srE2Rng(Q$5,R34)</f>
        <v>11.039445787234039</v>
      </c>
      <c r="W34" s="78">
        <f t="shared" si="16"/>
        <v>4.2205542127659612</v>
      </c>
      <c r="X34" s="61">
        <f>[1]!srE2LETe(Q$6,R34,0)</f>
        <v>46.386430297872337</v>
      </c>
      <c r="Y34" s="29">
        <f>[1]!srE2LETn(Q$6,R34,0)</f>
        <v>0.20505770212765964</v>
      </c>
      <c r="Z34" s="52"/>
      <c r="AA34" s="149">
        <f t="shared" si="17"/>
        <v>74.808288000000005</v>
      </c>
      <c r="AB34" s="66">
        <f>[1]!srLETt2E(AA$6,AA34,0,-1)</f>
        <v>1.4746560519087564</v>
      </c>
      <c r="AC34" s="62">
        <f>[1]!srE2Rng(AA$6,AB34)</f>
        <v>34413.987771993074</v>
      </c>
      <c r="AD34" s="60">
        <f t="shared" si="18"/>
        <v>35.009594637739895</v>
      </c>
      <c r="AE34" s="78">
        <f t="shared" si="10"/>
        <v>28.012581175696177</v>
      </c>
      <c r="AF34" s="86">
        <f>[1]!srE2Rng(AA$5,AB34)</f>
        <v>19.501257829395282</v>
      </c>
      <c r="AG34" s="78">
        <f t="shared" si="19"/>
        <v>14.368742170604715</v>
      </c>
      <c r="AH34" s="61">
        <f>[1]!srE2LETe(AA$6,AB34,0)</f>
        <v>74.574202055800299</v>
      </c>
      <c r="AI34" s="29">
        <f>[1]!srE2LETn(AA$6,AB34,0)</f>
        <v>0.23408594419970616</v>
      </c>
      <c r="AJ34" s="52"/>
      <c r="AK34" s="149">
        <f t="shared" si="20"/>
        <v>101.838048</v>
      </c>
      <c r="AL34" s="66">
        <f>[1]!srLETt2E(AK$6,AK34,0,-1)</f>
        <v>1.9167068320166969</v>
      </c>
      <c r="AM34" s="62">
        <f>[1]!srE2Rng(AK$6,AL34)</f>
        <v>49191.445666034808</v>
      </c>
      <c r="AN34" s="60">
        <f t="shared" si="21"/>
        <v>50.042807704308856</v>
      </c>
      <c r="AO34" s="78">
        <f t="shared" si="11"/>
        <v>42.023486260436329</v>
      </c>
      <c r="AP34" s="86">
        <f>[1]!srE2Rng(AK$5,AL34)</f>
        <v>28.340905324831983</v>
      </c>
      <c r="AQ34" s="78">
        <f t="shared" si="22"/>
        <v>21.229094675168017</v>
      </c>
      <c r="AR34" s="61">
        <f>[1]!srE2LETe(AK$6,AL34,0)</f>
        <v>101.46218990177495</v>
      </c>
      <c r="AS34" s="29">
        <f>[1]!srE2LETn(AK$6,AL34,0)</f>
        <v>0.37585809822505606</v>
      </c>
      <c r="AT34" s="52"/>
    </row>
    <row r="35" spans="2:46">
      <c r="B35" s="25"/>
      <c r="C35" s="25"/>
      <c r="D35" s="25"/>
      <c r="E35" s="25"/>
      <c r="F35" s="61">
        <v>0.97</v>
      </c>
      <c r="G35" s="149">
        <f t="shared" si="12"/>
        <v>24.384131599999996</v>
      </c>
      <c r="H35" s="66">
        <f>[1]!srLETt2E(G$6,G35,0,-1)</f>
        <v>0.48765109144282287</v>
      </c>
      <c r="I35" s="62">
        <f>[1]!srE2Rng(G$6,H35)</f>
        <v>12162.054843622391</v>
      </c>
      <c r="J35" s="60">
        <f t="shared" si="13"/>
        <v>12.372544933130301</v>
      </c>
      <c r="K35" s="78">
        <f t="shared" si="8"/>
        <v>2.7141195917003191</v>
      </c>
      <c r="L35" s="86">
        <f>[1]!srE2Rng(G$5,H35)</f>
        <v>6.8888598229854061</v>
      </c>
      <c r="M35" s="78">
        <f t="shared" si="8"/>
        <v>1.7311401770145931</v>
      </c>
      <c r="N35" s="61">
        <f>[1]!srE2LETe(G$6,H35,0)</f>
        <v>24.306390041273971</v>
      </c>
      <c r="O35" s="29">
        <f>[1]!srE2LETn(G$6,H35,0)</f>
        <v>7.7741558726024756E-2</v>
      </c>
      <c r="P35" s="52"/>
      <c r="Q35" s="149">
        <f t="shared" si="14"/>
        <v>47.076816000000001</v>
      </c>
      <c r="R35" s="66">
        <f>[1]!srLETt2E(Q$6,Q35,0,-1)</f>
        <v>0.75605530459304948</v>
      </c>
      <c r="S35" s="62">
        <f>[1]!srE2Rng(Q$6,R35)</f>
        <v>20697.521623103643</v>
      </c>
      <c r="T35" s="60">
        <f t="shared" si="15"/>
        <v>21.055736023141769</v>
      </c>
      <c r="U35" s="78">
        <f t="shared" si="9"/>
        <v>6.4013830277805788</v>
      </c>
      <c r="V35" s="86">
        <f>[1]!srE2Rng(Q$5,R35)</f>
        <v>11.498933723268145</v>
      </c>
      <c r="W35" s="78">
        <f t="shared" si="16"/>
        <v>3.7610662767318548</v>
      </c>
      <c r="X35" s="61">
        <f>[1]!srE2LETe(Q$6,R35,0)</f>
        <v>46.882968305611406</v>
      </c>
      <c r="Y35" s="29">
        <f>[1]!srE2LETn(Q$6,R35,0)</f>
        <v>0.19384769438859431</v>
      </c>
      <c r="Z35" s="52"/>
      <c r="AA35" s="149">
        <f t="shared" si="17"/>
        <v>75.587541000000002</v>
      </c>
      <c r="AB35" s="66">
        <f>[1]!srLETt2E(AA$6,AA35,0,-1)</f>
        <v>1.6896135833357433</v>
      </c>
      <c r="AC35" s="62">
        <f>[1]!srE2Rng(AA$6,AB35)</f>
        <v>37543.189230034994</v>
      </c>
      <c r="AD35" s="60">
        <f t="shared" si="18"/>
        <v>38.192953547253673</v>
      </c>
      <c r="AE35" s="78">
        <f t="shared" si="10"/>
        <v>24.829222266182398</v>
      </c>
      <c r="AF35" s="86">
        <f>[1]!srE2Rng(AA$5,AB35)</f>
        <v>21.211739580019085</v>
      </c>
      <c r="AG35" s="78">
        <f t="shared" si="19"/>
        <v>12.658260419980913</v>
      </c>
      <c r="AH35" s="61">
        <f>[1]!srE2LETe(AA$6,AB35,0)</f>
        <v>75.378753818008278</v>
      </c>
      <c r="AI35" s="29">
        <f>[1]!srE2LETn(AA$6,AB35,0)</f>
        <v>0.20878718199172772</v>
      </c>
      <c r="AJ35" s="52"/>
      <c r="AK35" s="149">
        <f t="shared" si="20"/>
        <v>102.898861</v>
      </c>
      <c r="AL35" s="66">
        <f>[1]!srLETt2E(AK$6,AK35,0,-1)</f>
        <v>2.130869266124904</v>
      </c>
      <c r="AM35" s="62">
        <f>[1]!srE2Rng(AK$6,AL35)</f>
        <v>52610.412132299134</v>
      </c>
      <c r="AN35" s="60">
        <f t="shared" si="21"/>
        <v>53.520946618548606</v>
      </c>
      <c r="AO35" s="78">
        <f t="shared" si="11"/>
        <v>38.545347346196579</v>
      </c>
      <c r="AP35" s="86">
        <f>[1]!srE2Rng(AK$5,AL35)</f>
        <v>30.130812307917456</v>
      </c>
      <c r="AQ35" s="78">
        <f t="shared" si="22"/>
        <v>19.439187692082545</v>
      </c>
      <c r="AR35" s="61">
        <f>[1]!srE2LETe(AK$6,AL35,0)</f>
        <v>102.55387487194497</v>
      </c>
      <c r="AS35" s="29">
        <f>[1]!srE2LETn(AK$6,AL35,0)</f>
        <v>0.3449861280550271</v>
      </c>
      <c r="AT35" s="52"/>
    </row>
    <row r="36" spans="2:46">
      <c r="B36" s="25"/>
      <c r="C36" s="25"/>
      <c r="D36" s="25"/>
      <c r="E36" s="25"/>
      <c r="F36" s="61">
        <v>0.98</v>
      </c>
      <c r="G36" s="149">
        <f t="shared" si="12"/>
        <v>24.635514399999998</v>
      </c>
      <c r="H36" s="66">
        <f>[1]!srLETt2E(G$6,G36,0,-1)</f>
        <v>0.52402252686690498</v>
      </c>
      <c r="I36" s="62">
        <f>[1]!srE2Rng(G$6,H36)</f>
        <v>12652.862761091203</v>
      </c>
      <c r="J36" s="60">
        <f t="shared" si="13"/>
        <v>12.871847319980112</v>
      </c>
      <c r="K36" s="78">
        <f t="shared" si="8"/>
        <v>2.2148172048505081</v>
      </c>
      <c r="L36" s="86">
        <f>[1]!srE2Rng(G$5,H36)</f>
        <v>7.2113982364287637</v>
      </c>
      <c r="M36" s="78">
        <f t="shared" si="8"/>
        <v>1.4086017635712356</v>
      </c>
      <c r="N36" s="61">
        <f>[1]!srE2LETe(G$6,H36,0)</f>
        <v>24.562213359052077</v>
      </c>
      <c r="O36" s="29">
        <f>[1]!srE2LETn(G$6,H36,0)</f>
        <v>7.3301040947919602E-2</v>
      </c>
      <c r="P36" s="52"/>
      <c r="Q36" s="149">
        <f t="shared" si="14"/>
        <v>47.562144000000004</v>
      </c>
      <c r="R36" s="66">
        <f>[1]!srLETt2E(Q$6,Q36,0,-1)</f>
        <v>0.81960660547954667</v>
      </c>
      <c r="S36" s="62">
        <f>[1]!srE2Rng(Q$6,R36)</f>
        <v>21629.370145689052</v>
      </c>
      <c r="T36" s="60">
        <f t="shared" si="15"/>
        <v>22.003712155859578</v>
      </c>
      <c r="U36" s="78">
        <f t="shared" si="9"/>
        <v>5.4534068950627699</v>
      </c>
      <c r="V36" s="86">
        <f>[1]!srE2Rng(Q$5,R36)</f>
        <v>12.075471124910447</v>
      </c>
      <c r="W36" s="78">
        <f t="shared" si="16"/>
        <v>3.1845288750895531</v>
      </c>
      <c r="X36" s="61">
        <f>[1]!srE2LETe(Q$6,R36,0)</f>
        <v>47.38083811798424</v>
      </c>
      <c r="Y36" s="29">
        <f>[1]!srE2LETn(Q$6,R36,0)</f>
        <v>0.18130588201576286</v>
      </c>
      <c r="Z36" s="52"/>
      <c r="AA36" s="149">
        <f t="shared" si="17"/>
        <v>76.366793999999999</v>
      </c>
      <c r="AB36" s="66">
        <f>[1]!srLETt2E(AA$6,AA36,0,-1)</f>
        <v>1.9914662441220528</v>
      </c>
      <c r="AC36" s="62">
        <f>[1]!srE2Rng(AA$6,AB36)</f>
        <v>41890.641611583269</v>
      </c>
      <c r="AD36" s="60">
        <f t="shared" si="18"/>
        <v>42.615647789876384</v>
      </c>
      <c r="AE36" s="78">
        <f t="shared" si="10"/>
        <v>20.406528023559687</v>
      </c>
      <c r="AF36" s="86">
        <f>[1]!srE2Rng(AA$5,AB36)</f>
        <v>23.526366729619145</v>
      </c>
      <c r="AG36" s="78">
        <f t="shared" si="19"/>
        <v>10.343633270380852</v>
      </c>
      <c r="AH36" s="61">
        <f>[1]!srE2LETe(AA$6,AB36,0)</f>
        <v>76.184712149826879</v>
      </c>
      <c r="AI36" s="29">
        <f>[1]!srE2LETn(AA$6,AB36,0)</f>
        <v>0.1820818501731192</v>
      </c>
      <c r="AJ36" s="52"/>
      <c r="AK36" s="149">
        <f t="shared" si="20"/>
        <v>103.95967399999999</v>
      </c>
      <c r="AL36" s="66">
        <f>[1]!srLETt2E(AK$6,AK36,0,-1)</f>
        <v>2.4442121492361233</v>
      </c>
      <c r="AM36" s="62">
        <f>[1]!srE2Rng(AK$6,AL36)</f>
        <v>57560.783471961302</v>
      </c>
      <c r="AN36" s="60">
        <f t="shared" si="21"/>
        <v>58.556994607410338</v>
      </c>
      <c r="AO36" s="78">
        <f t="shared" si="11"/>
        <v>33.509299357334847</v>
      </c>
      <c r="AP36" s="86">
        <f>[1]!srE2Rng(AK$5,AL36)</f>
        <v>32.698203488060074</v>
      </c>
      <c r="AQ36" s="78">
        <f t="shared" si="22"/>
        <v>16.871796511939927</v>
      </c>
      <c r="AR36" s="61">
        <f>[1]!srE2LETe(AK$6,AL36,0)</f>
        <v>103.65207834719612</v>
      </c>
      <c r="AS36" s="29">
        <f>[1]!srE2LETn(AK$6,AL36,0)</f>
        <v>0.30759565280386408</v>
      </c>
      <c r="AT36" s="52"/>
    </row>
    <row r="37" spans="2:46">
      <c r="B37" s="25"/>
      <c r="C37" s="25"/>
      <c r="D37" s="25"/>
      <c r="E37" s="25"/>
      <c r="F37" s="61">
        <v>0.99</v>
      </c>
      <c r="G37" s="149">
        <f t="shared" si="12"/>
        <v>24.886897199999996</v>
      </c>
      <c r="H37" s="66">
        <f>[1]!srLETt2E(G$6,G37,0,-1)</f>
        <v>0.57150123590298019</v>
      </c>
      <c r="I37" s="62">
        <f>[1]!srE2Rng(G$6,H37)</f>
        <v>13289.536412791576</v>
      </c>
      <c r="J37" s="60">
        <f t="shared" si="13"/>
        <v>13.519539956190657</v>
      </c>
      <c r="K37" s="78">
        <f>J$38-J37</f>
        <v>1.5671245686399633</v>
      </c>
      <c r="L37" s="86">
        <f>[1]!srE2Rng(G$5,H37)</f>
        <v>7.6277706782017489</v>
      </c>
      <c r="M37" s="78">
        <f t="shared" ref="M37:M73" si="23">L$38-L37</f>
        <v>0.9922293217982503</v>
      </c>
      <c r="N37" s="61">
        <f>[1]!srE2LETe(G$6,H37,0)</f>
        <v>24.818803954889535</v>
      </c>
      <c r="O37" s="29">
        <f>[1]!srE2LETn(G$6,H37,0)</f>
        <v>6.8093245110458972E-2</v>
      </c>
      <c r="P37" s="52"/>
      <c r="Q37" s="149">
        <f t="shared" si="14"/>
        <v>48.047471999999999</v>
      </c>
      <c r="R37" s="66">
        <f>[1]!srLETt2E(Q$6,Q37,0,-1)</f>
        <v>0.91883560740017489</v>
      </c>
      <c r="S37" s="62">
        <f>[1]!srE2Rng(Q$6,R37)</f>
        <v>23072.51904673934</v>
      </c>
      <c r="T37" s="60">
        <f t="shared" si="15"/>
        <v>23.471837801815319</v>
      </c>
      <c r="U37" s="78">
        <f>T$38-T37</f>
        <v>3.9852812491070289</v>
      </c>
      <c r="V37" s="86">
        <f>[1]!srE2Rng(Q$5,R37)</f>
        <v>12.954130057269543</v>
      </c>
      <c r="W37" s="78">
        <f t="shared" si="16"/>
        <v>2.3058699427304568</v>
      </c>
      <c r="X37" s="61">
        <f>[1]!srE2LETe(Q$6,R37,0)</f>
        <v>47.882202697210424</v>
      </c>
      <c r="Y37" s="29">
        <f>[1]!srE2LETn(Q$6,R37,0)</f>
        <v>0.16526930278958052</v>
      </c>
      <c r="Z37" s="52"/>
      <c r="AA37" s="149">
        <f t="shared" si="17"/>
        <v>77.14604700000001</v>
      </c>
      <c r="AB37" s="66">
        <f>[1]!srLETt2E(AA$6,AA37,0,-1)</f>
        <v>2.2462207661792317</v>
      </c>
      <c r="AC37" s="62">
        <f>[1]!srE2Rng(AA$6,AB37)</f>
        <v>45532.123242651127</v>
      </c>
      <c r="AD37" s="60">
        <f t="shared" si="18"/>
        <v>46.320152964606912</v>
      </c>
      <c r="AE37" s="78">
        <f>AD$38-AD37</f>
        <v>16.702022848829159</v>
      </c>
      <c r="AF37" s="86">
        <f>[1]!srE2Rng(AA$5,AB37)</f>
        <v>25.424063903596881</v>
      </c>
      <c r="AG37" s="78">
        <f t="shared" si="19"/>
        <v>8.4459360964031163</v>
      </c>
      <c r="AH37" s="61">
        <f>[1]!srE2LETe(AA$6,AB37,0)</f>
        <v>76.981625561438747</v>
      </c>
      <c r="AI37" s="29">
        <f>[1]!srE2LETn(AA$6,AB37,0)</f>
        <v>0.16442143856125599</v>
      </c>
      <c r="AJ37" s="52"/>
      <c r="AK37" s="149">
        <f t="shared" si="20"/>
        <v>105.020487</v>
      </c>
      <c r="AL37" s="66">
        <f>[1]!srLETt2E(AK$6,AK37,0,-1)</f>
        <v>2.9744519149843884</v>
      </c>
      <c r="AM37" s="62">
        <f>[1]!srE2Rng(AK$6,AL37)</f>
        <v>65858.588558352421</v>
      </c>
      <c r="AN37" s="60">
        <f t="shared" si="21"/>
        <v>66.998410765927943</v>
      </c>
      <c r="AO37" s="78">
        <f>AN$38-AN37</f>
        <v>25.067883198817242</v>
      </c>
      <c r="AP37" s="86">
        <f>[1]!srE2Rng(AK$5,AL37)</f>
        <v>36.970261306428135</v>
      </c>
      <c r="AQ37" s="78">
        <f t="shared" si="22"/>
        <v>12.599738693571865</v>
      </c>
      <c r="AR37" s="61">
        <f>[1]!srE2LETe(AK$6,AL37,0)</f>
        <v>104.75967027251924</v>
      </c>
      <c r="AS37" s="29">
        <f>[1]!srE2LETn(AK$6,AL37,0)</f>
        <v>0.26081672748075713</v>
      </c>
      <c r="AT37" s="52"/>
    </row>
    <row r="38" spans="2:46">
      <c r="B38" s="25"/>
      <c r="C38" s="25"/>
      <c r="D38" s="25"/>
      <c r="E38" s="25"/>
      <c r="F38" s="63">
        <v>1</v>
      </c>
      <c r="G38" s="104">
        <f>[1]!srMaxLETt(G$6,0)</f>
        <v>25.138279999999998</v>
      </c>
      <c r="H38" s="66">
        <f>[1]!srLETt2E(G$6,G38,0,-1)</f>
        <v>0.6875</v>
      </c>
      <c r="I38" s="62">
        <f>[1]!srE2Rng(G$6,H38)</f>
        <v>14830</v>
      </c>
      <c r="J38" s="60">
        <f t="shared" si="13"/>
        <v>15.086664524830621</v>
      </c>
      <c r="K38" s="78">
        <v>0</v>
      </c>
      <c r="L38" s="86">
        <f>[1]!srE2Rng(G$5,H38)</f>
        <v>8.6199999999999992</v>
      </c>
      <c r="M38" s="78">
        <f t="shared" si="23"/>
        <v>0</v>
      </c>
      <c r="N38" s="61">
        <f>[1]!srE2LETe(G$6,H38,0)</f>
        <v>25.08</v>
      </c>
      <c r="O38" s="29">
        <f>[1]!srE2LETn(G$6,H38,0)</f>
        <v>5.8279999999999998E-2</v>
      </c>
      <c r="P38" s="52"/>
      <c r="Q38" s="104">
        <f>[1]!srMaxLETt(Q$6,0)</f>
        <v>48.532800000000002</v>
      </c>
      <c r="R38" s="66">
        <f>[1]!srLETt2E(Q$6,Q38,0,-1)</f>
        <v>1.1904761904761905</v>
      </c>
      <c r="S38" s="62">
        <f>[1]!srE2Rng(Q$6,R38)</f>
        <v>26990</v>
      </c>
      <c r="T38" s="60">
        <f t="shared" si="15"/>
        <v>27.457119050922348</v>
      </c>
      <c r="U38" s="78">
        <v>0</v>
      </c>
      <c r="V38" s="86">
        <f>[1]!srE2Rng(Q$5,R38)</f>
        <v>15.26</v>
      </c>
      <c r="W38" s="78">
        <f t="shared" si="16"/>
        <v>0</v>
      </c>
      <c r="X38" s="61">
        <f>[1]!srE2LETe(Q$6,R38,0)</f>
        <v>48.4</v>
      </c>
      <c r="Y38" s="29">
        <f>[1]!srE2LETn(Q$6,R38,0)</f>
        <v>0.1328</v>
      </c>
      <c r="Z38" s="52"/>
      <c r="AA38" s="104">
        <f>[1]!srMaxLETt(AA$6,0)</f>
        <v>77.925300000000007</v>
      </c>
      <c r="AB38" s="66">
        <f>[1]!srLETt2E(AA$6,AA38,0,-1)</f>
        <v>3.4090909090909092</v>
      </c>
      <c r="AC38" s="62">
        <f>[1]!srE2Rng(AA$6,AB38)</f>
        <v>61950</v>
      </c>
      <c r="AD38" s="60">
        <f t="shared" si="18"/>
        <v>63.022175813436071</v>
      </c>
      <c r="AE38" s="78">
        <v>0</v>
      </c>
      <c r="AF38" s="86">
        <f>[1]!srE2Rng(AA$5,AB38)</f>
        <v>33.869999999999997</v>
      </c>
      <c r="AG38" s="78">
        <f t="shared" si="19"/>
        <v>0</v>
      </c>
      <c r="AH38" s="61">
        <f>[1]!srE2LETe(AA$6,AB38,0)</f>
        <v>77.81</v>
      </c>
      <c r="AI38" s="29">
        <f>[1]!srE2LETn(AA$6,AB38,0)</f>
        <v>0.1153</v>
      </c>
      <c r="AJ38" s="52"/>
      <c r="AK38" s="104">
        <f>[1]!srMaxLETt(AK$6,0)</f>
        <v>106.0813</v>
      </c>
      <c r="AL38" s="66">
        <f>[1]!srLETt2E(AK$6,AK38,0,-1)</f>
        <v>4.5685279187817258</v>
      </c>
      <c r="AM38" s="62">
        <f>[1]!srE2Rng(AK$6,AL38)</f>
        <v>90500</v>
      </c>
      <c r="AN38" s="60">
        <f t="shared" si="21"/>
        <v>92.066293964745185</v>
      </c>
      <c r="AO38" s="78">
        <v>0</v>
      </c>
      <c r="AP38" s="86">
        <f>[1]!srE2Rng(AK$5,AL38)</f>
        <v>49.57</v>
      </c>
      <c r="AQ38" s="78">
        <f t="shared" si="22"/>
        <v>0</v>
      </c>
      <c r="AR38" s="61">
        <f>[1]!srE2LETe(AK$6,AL38,0)</f>
        <v>105.9</v>
      </c>
      <c r="AS38" s="29">
        <f>[1]!srE2LETn(AK$6,AL38,0)</f>
        <v>0.18129999999999999</v>
      </c>
      <c r="AT38" s="52"/>
    </row>
    <row r="39" spans="2:46">
      <c r="B39" s="25"/>
      <c r="C39" s="25"/>
      <c r="D39" s="25"/>
      <c r="E39" s="25"/>
      <c r="F39" s="61">
        <f>F38-0.01</f>
        <v>0.99</v>
      </c>
      <c r="G39" s="149">
        <f t="shared" ref="G39:G73" si="24">G$38*$F39</f>
        <v>24.886897199999996</v>
      </c>
      <c r="H39" s="67">
        <f>[1]!srLETt2E(G$6,G39,0,1)</f>
        <v>0.89446558082360339</v>
      </c>
      <c r="I39" s="62">
        <f>[1]!srE2Rng(G$6,H39)</f>
        <v>17571.61740626923</v>
      </c>
      <c r="J39" s="60">
        <f t="shared" si="13"/>
        <v>17.875731420570347</v>
      </c>
      <c r="K39" s="78">
        <f>J$38-J39</f>
        <v>-2.789066895739726</v>
      </c>
      <c r="L39" s="86">
        <f>[1]!srE2Rng(G$5,H39)</f>
        <v>10.308839139520604</v>
      </c>
      <c r="M39" s="78">
        <f t="shared" si="23"/>
        <v>-1.6888391395206046</v>
      </c>
      <c r="N39" s="61">
        <f>[1]!srE2LETe(G$6,H39,0)</f>
        <v>24.840168113091575</v>
      </c>
      <c r="O39" s="29">
        <f>[1]!srE2LETn(G$6,H39,0)</f>
        <v>4.6729086908420335E-2</v>
      </c>
      <c r="P39" s="52"/>
      <c r="Q39" s="149">
        <f t="shared" ref="Q39:Q73" si="25">Q$38*$F39</f>
        <v>48.047471999999999</v>
      </c>
      <c r="R39" s="67">
        <f>[1]!srLETt2E(Q$6,Q39,0,1)</f>
        <v>1.5974881153815157</v>
      </c>
      <c r="S39" s="62">
        <f>[1]!srE2Rng(Q$6,R39)</f>
        <v>32860.508291032136</v>
      </c>
      <c r="T39" s="60">
        <f t="shared" si="15"/>
        <v>33.429228907769179</v>
      </c>
      <c r="U39" s="78">
        <f>T$38-T39</f>
        <v>-5.9721098568468314</v>
      </c>
      <c r="V39" s="86">
        <f>[1]!srE2Rng(Q$5,R39)</f>
        <v>18.543766159052446</v>
      </c>
      <c r="W39" s="78">
        <f t="shared" si="16"/>
        <v>-3.2837661590524458</v>
      </c>
      <c r="X39" s="61">
        <f>[1]!srE2LETe(Q$6,R39,0)</f>
        <v>47.943652961082911</v>
      </c>
      <c r="Y39" s="29">
        <f>[1]!srE2LETn(Q$6,R39,0)</f>
        <v>0.10381903891708971</v>
      </c>
      <c r="Z39" s="52"/>
      <c r="AA39" s="149">
        <f t="shared" ref="AA39:AA73" si="26">AA$38*$F39</f>
        <v>77.14604700000001</v>
      </c>
      <c r="AB39" s="67">
        <f>[1]!srLETt2E(AA$6,AA39,0,1)</f>
        <v>4.8518305612576587</v>
      </c>
      <c r="AC39" s="62">
        <f>[1]!srE2Rng(AA$6,AB39)</f>
        <v>82293.431500837585</v>
      </c>
      <c r="AD39" s="60">
        <f t="shared" si="18"/>
        <v>83.717693435621385</v>
      </c>
      <c r="AE39" s="78">
        <f>AD$38-AD39</f>
        <v>-20.695517622185314</v>
      </c>
      <c r="AF39" s="86">
        <f>[1]!srE2Rng(AA$5,AB39)</f>
        <v>44.282378201547807</v>
      </c>
      <c r="AG39" s="78">
        <f t="shared" si="19"/>
        <v>-10.41237820154781</v>
      </c>
      <c r="AH39" s="61">
        <f>[1]!srE2LETe(AA$6,AB39,0)</f>
        <v>77.060731907763511</v>
      </c>
      <c r="AI39" s="29">
        <f>[1]!srE2LETn(AA$6,AB39,0)</f>
        <v>8.5315092236495887E-2</v>
      </c>
      <c r="AJ39" s="52"/>
      <c r="AK39" s="149">
        <f t="shared" ref="AK39:AK72" si="27">AK$38*$F39</f>
        <v>105.020487</v>
      </c>
      <c r="AL39" s="67">
        <f>[1]!srLETt2E(AK$6,AK39,0,1)</f>
        <v>6.1091237282573072</v>
      </c>
      <c r="AM39" s="62">
        <f>[1]!srE2Rng(AK$6,AL39)</f>
        <v>114346.99205776182</v>
      </c>
      <c r="AN39" s="60">
        <f t="shared" si="21"/>
        <v>116.32600867153903</v>
      </c>
      <c r="AO39" s="78">
        <f>AN$38-AN39</f>
        <v>-24.259714706793844</v>
      </c>
      <c r="AP39" s="86">
        <f>[1]!srE2Rng(AK$5,AL39)</f>
        <v>61.853742090580944</v>
      </c>
      <c r="AQ39" s="78">
        <f t="shared" si="22"/>
        <v>-12.283742090580944</v>
      </c>
      <c r="AR39" s="61">
        <f>[1]!srE2LETe(AK$6,AL39,0)</f>
        <v>104.87901575319987</v>
      </c>
      <c r="AS39" s="29">
        <f>[1]!srE2LETn(AK$6,AL39,0)</f>
        <v>0.14147124680013118</v>
      </c>
      <c r="AT39" s="52"/>
    </row>
    <row r="40" spans="2:46">
      <c r="B40" s="25"/>
      <c r="C40" s="25"/>
      <c r="D40" s="25"/>
      <c r="E40" s="25"/>
      <c r="F40" s="61">
        <f t="shared" ref="F40:F48" si="28">F39-0.01</f>
        <v>0.98</v>
      </c>
      <c r="G40" s="149">
        <f t="shared" si="24"/>
        <v>24.635514399999998</v>
      </c>
      <c r="H40" s="67">
        <f>[1]!srLETt2E(G$6,G40,0,1)</f>
        <v>0.98525330336093098</v>
      </c>
      <c r="I40" s="62">
        <f>[1]!srE2Rng(G$6,H40)</f>
        <v>18791.804397170912</v>
      </c>
      <c r="J40" s="60">
        <f t="shared" si="13"/>
        <v>19.117036328816887</v>
      </c>
      <c r="K40" s="78">
        <f t="shared" ref="K40:K73" si="29">J$38-J40</f>
        <v>-4.0303718039862666</v>
      </c>
      <c r="L40" s="86">
        <f>[1]!srE2Rng(G$5,H40)</f>
        <v>11.042026426887448</v>
      </c>
      <c r="M40" s="78">
        <f t="shared" si="23"/>
        <v>-2.4220264268874487</v>
      </c>
      <c r="N40" s="61">
        <f>[1]!srE2LETe(G$6,H40,0)</f>
        <v>24.592470486320519</v>
      </c>
      <c r="O40" s="29">
        <f>[1]!srE2LETn(G$6,H40,0)</f>
        <v>4.3043913679477998E-2</v>
      </c>
      <c r="P40" s="52"/>
      <c r="Q40" s="149">
        <f t="shared" si="25"/>
        <v>47.562144000000004</v>
      </c>
      <c r="R40" s="67">
        <f>[1]!srLETt2E(Q$6,Q40,0,1)</f>
        <v>1.8316417009395143</v>
      </c>
      <c r="S40" s="62">
        <f>[1]!srE2Rng(Q$6,R40)</f>
        <v>36275.133003810857</v>
      </c>
      <c r="T40" s="60">
        <f t="shared" si="15"/>
        <v>36.902950925293709</v>
      </c>
      <c r="U40" s="78">
        <f t="shared" ref="U40:U73" si="30">T$38-T40</f>
        <v>-9.4458318743713612</v>
      </c>
      <c r="V40" s="86">
        <f>[1]!srE2Rng(Q$5,R40)</f>
        <v>20.378784967739485</v>
      </c>
      <c r="W40" s="78">
        <f t="shared" si="16"/>
        <v>-5.1187849677394848</v>
      </c>
      <c r="X40" s="61">
        <f>[1]!srE2LETe(Q$6,R40,0)</f>
        <v>47.4696945251481</v>
      </c>
      <c r="Y40" s="29">
        <f>[1]!srE2LETn(Q$6,R40,0)</f>
        <v>9.2449474851903649E-2</v>
      </c>
      <c r="Z40" s="52"/>
      <c r="AA40" s="149">
        <f t="shared" si="26"/>
        <v>76.366793999999999</v>
      </c>
      <c r="AB40" s="67">
        <f>[1]!srLETt2E(AA$6,AA40,0,1)</f>
        <v>5.4722989023310671</v>
      </c>
      <c r="AC40" s="62">
        <f>[1]!srE2Rng(AA$6,AB40)</f>
        <v>91159.905297760939</v>
      </c>
      <c r="AD40" s="60">
        <f t="shared" si="18"/>
        <v>92.73762031980101</v>
      </c>
      <c r="AE40" s="78">
        <f t="shared" ref="AE40:AE73" si="31">AD$38-AD40</f>
        <v>-29.715444506364939</v>
      </c>
      <c r="AF40" s="86">
        <f>[1]!srE2Rng(AA$5,AB40)</f>
        <v>48.847936522563565</v>
      </c>
      <c r="AG40" s="78">
        <f t="shared" si="19"/>
        <v>-14.977936522563567</v>
      </c>
      <c r="AH40" s="61">
        <f>[1]!srE2LETe(AA$6,AB40,0)</f>
        <v>76.289753302793756</v>
      </c>
      <c r="AI40" s="29">
        <f>[1]!srE2LETn(AA$6,AB40,0)</f>
        <v>7.7040697206248496E-2</v>
      </c>
      <c r="AJ40" s="52"/>
      <c r="AK40" s="149">
        <f t="shared" si="27"/>
        <v>103.95967399999999</v>
      </c>
      <c r="AL40" s="67">
        <f>[1]!srLETt2E(AK$6,AK40,0,1)</f>
        <v>6.9378190508001305</v>
      </c>
      <c r="AM40" s="62">
        <f>[1]!srE2Rng(AK$6,AL40)</f>
        <v>127316.67817000853</v>
      </c>
      <c r="AN40" s="60">
        <f t="shared" si="21"/>
        <v>129.52016264104819</v>
      </c>
      <c r="AO40" s="78">
        <f t="shared" ref="AO40:AO72" si="32">AN$38-AN40</f>
        <v>-37.453868676303003</v>
      </c>
      <c r="AP40" s="86">
        <f>[1]!srE2Rng(AK$5,AL40)</f>
        <v>68.590139649816464</v>
      </c>
      <c r="AQ40" s="78">
        <f t="shared" si="22"/>
        <v>-19.020139649816464</v>
      </c>
      <c r="AR40" s="61">
        <f>[1]!srE2LETe(AK$6,AL40,0)</f>
        <v>103.83274752894661</v>
      </c>
      <c r="AS40" s="29">
        <f>[1]!srE2LETn(AK$6,AL40,0)</f>
        <v>0.12692647105337468</v>
      </c>
      <c r="AT40" s="52"/>
    </row>
    <row r="41" spans="2:46">
      <c r="B41" s="25"/>
      <c r="C41" s="25"/>
      <c r="D41" s="25"/>
      <c r="E41" s="25"/>
      <c r="F41" s="61">
        <f t="shared" si="28"/>
        <v>0.97</v>
      </c>
      <c r="G41" s="149">
        <f t="shared" si="24"/>
        <v>24.384131599999996</v>
      </c>
      <c r="H41" s="67">
        <f>[1]!srLETt2E(G$6,G41,0,1)</f>
        <v>1.061416224501829</v>
      </c>
      <c r="I41" s="62">
        <f>[1]!srE2Rng(G$6,H41)</f>
        <v>19825.260653224876</v>
      </c>
      <c r="J41" s="60">
        <f t="shared" si="13"/>
        <v>20.168378731795553</v>
      </c>
      <c r="K41" s="78">
        <f t="shared" si="29"/>
        <v>-5.0817142069649321</v>
      </c>
      <c r="L41" s="86">
        <f>[1]!srE2Rng(G$5,H41)</f>
        <v>11.651329796014632</v>
      </c>
      <c r="M41" s="78">
        <f t="shared" si="23"/>
        <v>-3.0313297960146333</v>
      </c>
      <c r="N41" s="61">
        <f>[1]!srE2LETe(G$6,H41,0)</f>
        <v>24.343641485673853</v>
      </c>
      <c r="O41" s="29">
        <f>[1]!srE2LETn(G$6,H41,0)</f>
        <v>4.049011432614074E-2</v>
      </c>
      <c r="P41" s="52"/>
      <c r="Q41" s="149">
        <f t="shared" si="25"/>
        <v>47.076816000000001</v>
      </c>
      <c r="R41" s="67">
        <f>[1]!srLETt2E(Q$6,Q41,0,1)</f>
        <v>2.221341659446705</v>
      </c>
      <c r="S41" s="62">
        <f>[1]!srE2Rng(Q$6,R41)</f>
        <v>42023.611442956848</v>
      </c>
      <c r="T41" s="60">
        <f t="shared" si="15"/>
        <v>42.750918945497183</v>
      </c>
      <c r="U41" s="78">
        <f t="shared" si="30"/>
        <v>-15.293799894574835</v>
      </c>
      <c r="V41" s="86">
        <f>[1]!srE2Rng(Q$5,R41)</f>
        <v>23.396528344204135</v>
      </c>
      <c r="W41" s="78">
        <f t="shared" si="16"/>
        <v>-8.1365283442041356</v>
      </c>
      <c r="X41" s="61">
        <f>[1]!srE2LETe(Q$6,R41,0)</f>
        <v>46.998256963039253</v>
      </c>
      <c r="Y41" s="29">
        <f>[1]!srE2LETn(Q$6,R41,0)</f>
        <v>7.8559036960750686E-2</v>
      </c>
      <c r="Z41" s="52"/>
      <c r="AA41" s="149">
        <f t="shared" si="26"/>
        <v>75.587541000000002</v>
      </c>
      <c r="AB41" s="67">
        <f>[1]!srLETt2E(AA$6,AA41,0,1)</f>
        <v>5.9953791899626951</v>
      </c>
      <c r="AC41" s="62">
        <f>[1]!srE2Rng(AA$6,AB41)</f>
        <v>98699.793795798279</v>
      </c>
      <c r="AD41" s="60">
        <f t="shared" si="18"/>
        <v>100.40800253993037</v>
      </c>
      <c r="AE41" s="78">
        <f t="shared" si="31"/>
        <v>-37.385826726494294</v>
      </c>
      <c r="AF41" s="86">
        <f>[1]!srE2Rng(AA$5,AB41)</f>
        <v>52.735259988126764</v>
      </c>
      <c r="AG41" s="78">
        <f t="shared" si="19"/>
        <v>-18.865259988126766</v>
      </c>
      <c r="AH41" s="61">
        <f>[1]!srE2LETe(AA$6,AB41,0)</f>
        <v>75.51643140555916</v>
      </c>
      <c r="AI41" s="29">
        <f>[1]!srE2LETn(AA$6,AB41,0)</f>
        <v>7.1109594440850993E-2</v>
      </c>
      <c r="AJ41" s="52"/>
      <c r="AK41" s="149">
        <f t="shared" si="27"/>
        <v>102.898861</v>
      </c>
      <c r="AL41" s="67">
        <f>[1]!srLETt2E(AK$6,AK41,0,1)</f>
        <v>7.6244276459334825</v>
      </c>
      <c r="AM41" s="62">
        <f>[1]!srE2Rng(AK$6,AL41)</f>
        <v>138163.19317078547</v>
      </c>
      <c r="AN41" s="60">
        <f t="shared" si="21"/>
        <v>140.55439953115371</v>
      </c>
      <c r="AO41" s="78">
        <f t="shared" si="32"/>
        <v>-48.488105566408521</v>
      </c>
      <c r="AP41" s="86">
        <f>[1]!srE2Rng(AK$5,AL41)</f>
        <v>74.245118016328306</v>
      </c>
      <c r="AQ41" s="78">
        <f t="shared" si="22"/>
        <v>-24.675118016328305</v>
      </c>
      <c r="AR41" s="61">
        <f>[1]!srE2LETe(AK$6,AL41,0)</f>
        <v>102.78188978375994</v>
      </c>
      <c r="AS41" s="29">
        <f>[1]!srE2LETn(AK$6,AL41,0)</f>
        <v>0.11697121624007065</v>
      </c>
      <c r="AT41" s="52"/>
    </row>
    <row r="42" spans="2:46">
      <c r="B42" s="25"/>
      <c r="C42" s="25"/>
      <c r="D42" s="25"/>
      <c r="E42" s="25"/>
      <c r="F42" s="61">
        <f t="shared" si="28"/>
        <v>0.96</v>
      </c>
      <c r="G42" s="149">
        <f t="shared" si="24"/>
        <v>24.132748799999998</v>
      </c>
      <c r="H42" s="67">
        <f>[1]!srLETt2E(G$6,G42,0,1)</f>
        <v>1.1344235157405458</v>
      </c>
      <c r="I42" s="62">
        <f>[1]!srE2Rng(G$6,H42)</f>
        <v>20820.421457849152</v>
      </c>
      <c r="J42" s="60">
        <f t="shared" si="13"/>
        <v>21.180762899538436</v>
      </c>
      <c r="K42" s="78">
        <f t="shared" si="29"/>
        <v>-6.0940983747078157</v>
      </c>
      <c r="L42" s="86">
        <f>[1]!srE2Rng(G$5,H42)</f>
        <v>12.235388125924366</v>
      </c>
      <c r="M42" s="78">
        <f t="shared" si="23"/>
        <v>-3.6153881259243672</v>
      </c>
      <c r="N42" s="61">
        <f>[1]!srE2LETe(G$6,H42,0)</f>
        <v>24.094567580815546</v>
      </c>
      <c r="O42" s="29">
        <f>[1]!srE2LETn(G$6,H42,0)</f>
        <v>3.818121918444959E-2</v>
      </c>
      <c r="P42" s="52"/>
      <c r="Q42" s="149">
        <f t="shared" si="25"/>
        <v>46.591487999999998</v>
      </c>
      <c r="R42" s="67">
        <f>[1]!srLETt2E(Q$6,Q42,0,1)</f>
        <v>2.5150384448993628</v>
      </c>
      <c r="S42" s="62">
        <f>[1]!srE2Rng(Q$6,R42)</f>
        <v>46394.854828135271</v>
      </c>
      <c r="T42" s="60">
        <f t="shared" si="15"/>
        <v>47.197815945400876</v>
      </c>
      <c r="U42" s="78">
        <f t="shared" si="30"/>
        <v>-19.740696894478528</v>
      </c>
      <c r="V42" s="86">
        <f>[1]!srE2Rng(Q$5,R42)</f>
        <v>25.666217102182276</v>
      </c>
      <c r="W42" s="78">
        <f t="shared" si="16"/>
        <v>-10.406217102182277</v>
      </c>
      <c r="X42" s="61">
        <f>[1]!srE2LETe(Q$6,R42,0)</f>
        <v>46.520777746558018</v>
      </c>
      <c r="Y42" s="29">
        <f>[1]!srE2LETn(Q$6,R42,0)</f>
        <v>7.0710253441978038E-2</v>
      </c>
      <c r="Z42" s="52"/>
      <c r="AA42" s="149">
        <f t="shared" si="26"/>
        <v>74.808288000000005</v>
      </c>
      <c r="AB42" s="67">
        <f>[1]!srLETt2E(AA$6,AA42,0,1)</f>
        <v>6.4471389689629843</v>
      </c>
      <c r="AC42" s="62">
        <f>[1]!srE2Rng(AA$6,AB42)</f>
        <v>105298.37793885534</v>
      </c>
      <c r="AD42" s="60">
        <f t="shared" si="18"/>
        <v>107.12078914176237</v>
      </c>
      <c r="AE42" s="78">
        <f t="shared" si="31"/>
        <v>-44.098613328326302</v>
      </c>
      <c r="AF42" s="86">
        <f>[1]!srE2Rng(AA$5,AB42)</f>
        <v>56.158887008819363</v>
      </c>
      <c r="AG42" s="78">
        <f t="shared" si="19"/>
        <v>-22.288887008819366</v>
      </c>
      <c r="AH42" s="61">
        <f>[1]!srE2LETe(AA$6,AB42,0)</f>
        <v>74.741402826088589</v>
      </c>
      <c r="AI42" s="29">
        <f>[1]!srE2LETn(AA$6,AB42,0)</f>
        <v>6.6885173911417323E-2</v>
      </c>
      <c r="AJ42" s="52"/>
      <c r="AK42" s="149">
        <f t="shared" si="27"/>
        <v>101.838048</v>
      </c>
      <c r="AL42" s="67">
        <f>[1]!srLETt2E(AK$6,AK42,0,1)</f>
        <v>8.2089799659975196</v>
      </c>
      <c r="AM42" s="62">
        <f>[1]!srE2Rng(AK$6,AL42)</f>
        <v>147512.71165473349</v>
      </c>
      <c r="AN42" s="60">
        <f t="shared" si="21"/>
        <v>150.06573121261201</v>
      </c>
      <c r="AO42" s="78">
        <f t="shared" si="32"/>
        <v>-57.999437247866823</v>
      </c>
      <c r="AP42" s="86">
        <f>[1]!srE2Rng(AK$5,AL42)</f>
        <v>79.124835481304686</v>
      </c>
      <c r="AQ42" s="78">
        <f t="shared" si="22"/>
        <v>-29.554835481304686</v>
      </c>
      <c r="AR42" s="61">
        <f>[1]!srE2LETe(AK$6,AL42,0)</f>
        <v>101.7283094669849</v>
      </c>
      <c r="AS42" s="29">
        <f>[1]!srE2LETn(AK$6,AL42,0)</f>
        <v>0.10973853301511537</v>
      </c>
      <c r="AT42" s="52"/>
    </row>
    <row r="43" spans="2:46">
      <c r="B43" s="7"/>
      <c r="C43" s="7"/>
      <c r="D43" s="7"/>
      <c r="E43" s="7"/>
      <c r="F43" s="61">
        <f t="shared" si="28"/>
        <v>0.95</v>
      </c>
      <c r="G43" s="149">
        <f t="shared" si="24"/>
        <v>23.881365999999996</v>
      </c>
      <c r="H43" s="67">
        <f>[1]!srLETt2E(G$6,G43,0,1)</f>
        <v>1.20081449397845</v>
      </c>
      <c r="I43" s="62">
        <f>[1]!srE2Rng(G$6,H43)</f>
        <v>21739.272596661747</v>
      </c>
      <c r="J43" s="60">
        <f t="shared" si="13"/>
        <v>22.115516701259555</v>
      </c>
      <c r="K43" s="78">
        <f t="shared" si="29"/>
        <v>-7.0288521764289342</v>
      </c>
      <c r="L43" s="86">
        <f>[1]!srE2Rng(G$5,H43)</f>
        <v>12.7665159518276</v>
      </c>
      <c r="M43" s="78">
        <f t="shared" si="23"/>
        <v>-4.1465159518276007</v>
      </c>
      <c r="N43" s="61">
        <f>[1]!srE2LETe(G$6,H43,0)</f>
        <v>23.844937502641027</v>
      </c>
      <c r="O43" s="29">
        <f>[1]!srE2LETn(G$6,H43,0)</f>
        <v>3.6428497358968921E-2</v>
      </c>
      <c r="P43" s="52"/>
      <c r="Q43" s="149">
        <f t="shared" si="25"/>
        <v>46.106160000000003</v>
      </c>
      <c r="R43" s="67">
        <f>[1]!srLETt2E(Q$6,Q43,0,1)</f>
        <v>2.8719539893620269</v>
      </c>
      <c r="S43" s="62">
        <f>[1]!srE2Rng(Q$6,R43)</f>
        <v>51763.944319153845</v>
      </c>
      <c r="T43" s="60">
        <f t="shared" si="15"/>
        <v>52.659828889081993</v>
      </c>
      <c r="U43" s="78">
        <f t="shared" si="30"/>
        <v>-25.202709838159645</v>
      </c>
      <c r="V43" s="86">
        <f>[1]!srE2Rng(Q$5,R43)</f>
        <v>28.430958083832309</v>
      </c>
      <c r="W43" s="78">
        <f t="shared" si="16"/>
        <v>-13.170958083832309</v>
      </c>
      <c r="X43" s="61">
        <f>[1]!srE2LETe(Q$6,R43,0)</f>
        <v>46.043089146382563</v>
      </c>
      <c r="Y43" s="29">
        <f>[1]!srE2LETn(Q$6,R43,0)</f>
        <v>6.3070853617440512E-2</v>
      </c>
      <c r="Z43" s="52"/>
      <c r="AA43" s="149">
        <f t="shared" si="26"/>
        <v>74.029035000000007</v>
      </c>
      <c r="AB43" s="67">
        <f>[1]!srLETt2E(AA$6,AA43,0,1)</f>
        <v>6.8808313281263365</v>
      </c>
      <c r="AC43" s="62">
        <f>[1]!srE2Rng(AA$6,AB43)</f>
        <v>111665.3070638637</v>
      </c>
      <c r="AD43" s="60">
        <f t="shared" si="18"/>
        <v>113.59791144536148</v>
      </c>
      <c r="AE43" s="78">
        <f t="shared" si="31"/>
        <v>-50.575735631925404</v>
      </c>
      <c r="AF43" s="86">
        <f>[1]!srE2Rng(AA$5,AB43)</f>
        <v>59.467087409916637</v>
      </c>
      <c r="AG43" s="78">
        <f t="shared" si="19"/>
        <v>-25.597087409916639</v>
      </c>
      <c r="AH43" s="61">
        <f>[1]!srE2LETe(AA$6,AB43,0)</f>
        <v>73.965953970309855</v>
      </c>
      <c r="AI43" s="29">
        <f>[1]!srE2LETn(AA$6,AB43,0)</f>
        <v>6.3081029690146465E-2</v>
      </c>
      <c r="AJ43" s="52"/>
      <c r="AK43" s="149">
        <f t="shared" si="27"/>
        <v>100.77723499999999</v>
      </c>
      <c r="AL43" s="67">
        <f>[1]!srLETt2E(AK$6,AK43,0,1)</f>
        <v>8.7518281577379913</v>
      </c>
      <c r="AM43" s="62">
        <f>[1]!srE2Rng(AK$6,AL43)</f>
        <v>156271.49814834414</v>
      </c>
      <c r="AN43" s="60">
        <f t="shared" si="21"/>
        <v>158.97610703686834</v>
      </c>
      <c r="AO43" s="78">
        <f t="shared" si="32"/>
        <v>-66.909813072123157</v>
      </c>
      <c r="AP43" s="86">
        <f>[1]!srE2Rng(AK$5,AL43)</f>
        <v>83.711558353613398</v>
      </c>
      <c r="AQ43" s="78">
        <f t="shared" si="22"/>
        <v>-34.141558353613398</v>
      </c>
      <c r="AR43" s="61">
        <f>[1]!srE2LETe(AK$6,AL43,0)</f>
        <v>100.67336461750079</v>
      </c>
      <c r="AS43" s="29">
        <f>[1]!srE2LETn(AK$6,AL43,0)</f>
        <v>0.1038703824992064</v>
      </c>
      <c r="AT43" s="52"/>
    </row>
    <row r="44" spans="2:46">
      <c r="B44" s="7"/>
      <c r="C44" s="7"/>
      <c r="D44" s="7"/>
      <c r="E44" s="7"/>
      <c r="F44" s="61">
        <f t="shared" si="28"/>
        <v>0.94</v>
      </c>
      <c r="G44" s="149">
        <f t="shared" si="24"/>
        <v>23.629983199999998</v>
      </c>
      <c r="H44" s="67">
        <f>[1]!srLETt2E(G$6,G44,0,1)</f>
        <v>1.2668686690833768</v>
      </c>
      <c r="I44" s="62">
        <f>[1]!srE2Rng(G$6,H44)</f>
        <v>22658.860354220615</v>
      </c>
      <c r="J44" s="60">
        <f t="shared" si="13"/>
        <v>23.051019870472768</v>
      </c>
      <c r="K44" s="78">
        <f t="shared" si="29"/>
        <v>-7.9643553456421472</v>
      </c>
      <c r="L44" s="86">
        <f>[1]!srE2Rng(G$5,H44)</f>
        <v>13.296298846193684</v>
      </c>
      <c r="M44" s="78">
        <f t="shared" si="23"/>
        <v>-4.676298846193685</v>
      </c>
      <c r="N44" s="61">
        <f>[1]!srE2LETe(G$6,H44,0)</f>
        <v>23.595224310719832</v>
      </c>
      <c r="O44" s="29">
        <f>[1]!srE2LETn(G$6,H44,0)</f>
        <v>3.4758889280165711E-2</v>
      </c>
      <c r="P44" s="52"/>
      <c r="Q44" s="149">
        <f t="shared" si="25"/>
        <v>45.620832</v>
      </c>
      <c r="R44" s="67">
        <f>[1]!srLETt2E(Q$6,Q44,0,1)</f>
        <v>3.2542895893682959</v>
      </c>
      <c r="S44" s="62">
        <f>[1]!srE2Rng(Q$6,R44)</f>
        <v>57572.890981856959</v>
      </c>
      <c r="T44" s="60">
        <f t="shared" si="15"/>
        <v>58.569311663379786</v>
      </c>
      <c r="U44" s="78">
        <f t="shared" si="30"/>
        <v>-31.112192612457438</v>
      </c>
      <c r="V44" s="86">
        <f>[1]!srE2Rng(Q$5,R44)</f>
        <v>31.407838207043739</v>
      </c>
      <c r="W44" s="78">
        <f t="shared" si="16"/>
        <v>-16.147838207043741</v>
      </c>
      <c r="X44" s="61">
        <f>[1]!srE2LETe(Q$6,R44,0)</f>
        <v>45.564267182497332</v>
      </c>
      <c r="Y44" s="29">
        <f>[1]!srE2LETn(Q$6,R44,0)</f>
        <v>5.6564817502668126E-2</v>
      </c>
      <c r="Z44" s="52"/>
      <c r="AA44" s="149">
        <f t="shared" si="26"/>
        <v>73.249781999999996</v>
      </c>
      <c r="AB44" s="67">
        <f>[1]!srLETt2E(AA$6,AA44,0,1)</f>
        <v>7.272942637493804</v>
      </c>
      <c r="AC44" s="62">
        <f>[1]!srE2Rng(AA$6,AB44)</f>
        <v>117519.21522367249</v>
      </c>
      <c r="AD44" s="60">
        <f t="shared" si="18"/>
        <v>119.55313387059437</v>
      </c>
      <c r="AE44" s="78">
        <f t="shared" si="31"/>
        <v>-56.530958057158294</v>
      </c>
      <c r="AF44" s="86">
        <f>[1]!srE2Rng(AA$5,AB44)</f>
        <v>62.51567441798683</v>
      </c>
      <c r="AG44" s="78">
        <f t="shared" si="19"/>
        <v>-28.645674417986832</v>
      </c>
      <c r="AH44" s="61">
        <f>[1]!srE2LETe(AA$6,AB44,0)</f>
        <v>73.189573577762275</v>
      </c>
      <c r="AI44" s="29">
        <f>[1]!srE2LETn(AA$6,AB44,0)</f>
        <v>6.0208422237720396E-2</v>
      </c>
      <c r="AJ44" s="52"/>
      <c r="AK44" s="149">
        <f t="shared" si="27"/>
        <v>99.716421999999994</v>
      </c>
      <c r="AL44" s="67">
        <f>[1]!srLETt2E(AK$6,AK44,0,1)</f>
        <v>9.3048579024522091</v>
      </c>
      <c r="AM44" s="62">
        <f>[1]!srE2Rng(AK$6,AL44)</f>
        <v>165310.17716842255</v>
      </c>
      <c r="AN44" s="60">
        <f t="shared" si="21"/>
        <v>168.17121951991271</v>
      </c>
      <c r="AO44" s="78">
        <f t="shared" si="32"/>
        <v>-76.104925555167526</v>
      </c>
      <c r="AP44" s="86">
        <f>[1]!srE2Rng(AK$5,AL44)</f>
        <v>88.442855448116589</v>
      </c>
      <c r="AQ44" s="78">
        <f t="shared" si="22"/>
        <v>-38.872855448116589</v>
      </c>
      <c r="AR44" s="61">
        <f>[1]!srE2LETe(AK$6,AL44,0)</f>
        <v>99.617859979795057</v>
      </c>
      <c r="AS44" s="29">
        <f>[1]!srE2LETn(AK$6,AL44,0)</f>
        <v>9.8562020204935805E-2</v>
      </c>
      <c r="AT44" s="52"/>
    </row>
    <row r="45" spans="2:46">
      <c r="B45" s="7"/>
      <c r="C45" s="7"/>
      <c r="D45" s="7"/>
      <c r="E45" s="7"/>
      <c r="F45" s="61">
        <f t="shared" si="28"/>
        <v>0.92999999999999994</v>
      </c>
      <c r="G45" s="149">
        <f t="shared" si="24"/>
        <v>23.378600399999996</v>
      </c>
      <c r="H45" s="67">
        <f>[1]!srLETt2E(G$6,G45,0,1)</f>
        <v>1.3319600207146565</v>
      </c>
      <c r="I45" s="62">
        <f>[1]!srE2Rng(G$6,H45)</f>
        <v>23580.553893319535</v>
      </c>
      <c r="J45" s="60">
        <f t="shared" si="13"/>
        <v>23.98866526623064</v>
      </c>
      <c r="K45" s="78">
        <f t="shared" si="29"/>
        <v>-8.9020007414000197</v>
      </c>
      <c r="L45" s="86">
        <f>[1]!srE2Rng(G$5,H45)</f>
        <v>13.822236967374424</v>
      </c>
      <c r="M45" s="78">
        <f t="shared" si="23"/>
        <v>-5.2022369673744251</v>
      </c>
      <c r="N45" s="61">
        <f>[1]!srE2LETe(G$6,H45,0)</f>
        <v>23.34527352045572</v>
      </c>
      <c r="O45" s="29">
        <f>[1]!srE2LETn(G$6,H45,0)</f>
        <v>3.3326879544277557E-2</v>
      </c>
      <c r="P45" s="52"/>
      <c r="Q45" s="149">
        <f t="shared" si="25"/>
        <v>45.135503999999997</v>
      </c>
      <c r="R45" s="67">
        <f>[1]!srLETt2E(Q$6,Q45,0,1)</f>
        <v>3.6484737272241659</v>
      </c>
      <c r="S45" s="62">
        <f>[1]!srE2Rng(Q$6,R45)</f>
        <v>63633.39864521144</v>
      </c>
      <c r="T45" s="60">
        <f t="shared" si="15"/>
        <v>64.734709233655863</v>
      </c>
      <c r="U45" s="78">
        <f t="shared" si="30"/>
        <v>-37.277590182733519</v>
      </c>
      <c r="V45" s="86">
        <f>[1]!srE2Rng(Q$5,R45)</f>
        <v>34.498348550162014</v>
      </c>
      <c r="W45" s="78">
        <f t="shared" si="16"/>
        <v>-19.238348550162016</v>
      </c>
      <c r="X45" s="61">
        <f>[1]!srE2LETe(Q$6,R45,0)</f>
        <v>45.084217462314918</v>
      </c>
      <c r="Y45" s="29">
        <f>[1]!srE2LETn(Q$6,R45,0)</f>
        <v>5.1286537685078543E-2</v>
      </c>
      <c r="Z45" s="52"/>
      <c r="AA45" s="149">
        <f t="shared" si="26"/>
        <v>72.470528999999999</v>
      </c>
      <c r="AB45" s="67">
        <f>[1]!srLETt2E(AA$6,AA45,0,1)</f>
        <v>7.6595412686892894</v>
      </c>
      <c r="AC45" s="62">
        <f>[1]!srE2Rng(AA$6,AB45)</f>
        <v>123318.4721271836</v>
      </c>
      <c r="AD45" s="60">
        <f t="shared" si="18"/>
        <v>125.45275918391737</v>
      </c>
      <c r="AE45" s="78">
        <f t="shared" si="31"/>
        <v>-62.430583370481294</v>
      </c>
      <c r="AF45" s="86">
        <f>[1]!srE2Rng(AA$5,AB45)</f>
        <v>65.537990627005968</v>
      </c>
      <c r="AG45" s="78">
        <f t="shared" si="19"/>
        <v>-31.66799062700597</v>
      </c>
      <c r="AH45" s="61">
        <f>[1]!srE2LETe(AA$6,AB45,0)</f>
        <v>72.413048840528219</v>
      </c>
      <c r="AI45" s="29">
        <f>[1]!srE2LETn(AA$6,AB45,0)</f>
        <v>5.7480159471771937E-2</v>
      </c>
      <c r="AJ45" s="52"/>
      <c r="AK45" s="149">
        <f t="shared" si="27"/>
        <v>98.655608999999998</v>
      </c>
      <c r="AL45" s="67">
        <f>[1]!srLETt2E(AK$6,AK45,0,1)</f>
        <v>9.82295455549996</v>
      </c>
      <c r="AM45" s="62">
        <f>[1]!srE2Rng(AK$6,AL45)</f>
        <v>173863.22757492663</v>
      </c>
      <c r="AN45" s="60">
        <f t="shared" si="21"/>
        <v>176.8722985588131</v>
      </c>
      <c r="AO45" s="78">
        <f t="shared" si="32"/>
        <v>-84.806004594067915</v>
      </c>
      <c r="AP45" s="86">
        <f>[1]!srE2Rng(AK$5,AL45)</f>
        <v>92.928613984701983</v>
      </c>
      <c r="AQ45" s="78">
        <f t="shared" si="22"/>
        <v>-43.358613984701982</v>
      </c>
      <c r="AR45" s="61">
        <f>[1]!srE2LETe(AK$6,AL45,0)</f>
        <v>98.561486809063354</v>
      </c>
      <c r="AS45" s="29">
        <f>[1]!srE2LETn(AK$6,AL45,0)</f>
        <v>9.4122190936643105E-2</v>
      </c>
      <c r="AT45" s="52"/>
    </row>
    <row r="46" spans="2:46">
      <c r="B46" s="7"/>
      <c r="C46" s="7"/>
      <c r="D46" s="7"/>
      <c r="E46" s="7"/>
      <c r="F46" s="61">
        <f t="shared" si="28"/>
        <v>0.91999999999999993</v>
      </c>
      <c r="G46" s="149">
        <f t="shared" si="24"/>
        <v>23.127217599999998</v>
      </c>
      <c r="H46" s="67">
        <f>[1]!srLETt2E(G$6,G46,0,1)</f>
        <v>1.3970710316802126</v>
      </c>
      <c r="I46" s="62">
        <f>[1]!srE2Rng(G$6,H46)</f>
        <v>24509.58853872948</v>
      </c>
      <c r="J46" s="60">
        <f t="shared" si="13"/>
        <v>24.933778821675336</v>
      </c>
      <c r="K46" s="78">
        <f t="shared" si="29"/>
        <v>-9.8471142968447154</v>
      </c>
      <c r="L46" s="86">
        <f>[1]!srE2Rng(G$5,H46)</f>
        <v>14.346568253441701</v>
      </c>
      <c r="M46" s="78">
        <f t="shared" si="23"/>
        <v>-5.7265682534417017</v>
      </c>
      <c r="N46" s="61">
        <f>[1]!srE2LETe(G$6,H46,0)</f>
        <v>23.095247238347984</v>
      </c>
      <c r="O46" s="29">
        <f>[1]!srE2LETn(G$6,H46,0)</f>
        <v>3.197036165201525E-2</v>
      </c>
      <c r="P46" s="52"/>
      <c r="Q46" s="149">
        <f t="shared" si="25"/>
        <v>44.650175999999995</v>
      </c>
      <c r="R46" s="67">
        <f>[1]!srLETt2E(Q$6,Q46,0,1)</f>
        <v>4.035421310232314</v>
      </c>
      <c r="S46" s="62">
        <f>[1]!srE2Rng(Q$6,R46)</f>
        <v>69643.832395045873</v>
      </c>
      <c r="T46" s="60">
        <f t="shared" si="15"/>
        <v>70.849166255400419</v>
      </c>
      <c r="U46" s="78">
        <f t="shared" si="30"/>
        <v>-43.392047204478075</v>
      </c>
      <c r="V46" s="86">
        <f>[1]!srE2Rng(Q$5,R46)</f>
        <v>37.570457133665769</v>
      </c>
      <c r="W46" s="78">
        <f t="shared" si="16"/>
        <v>-22.310457133665771</v>
      </c>
      <c r="X46" s="61">
        <f>[1]!srE2LETe(Q$6,R46,0)</f>
        <v>44.603164227119187</v>
      </c>
      <c r="Y46" s="29">
        <f>[1]!srE2LETn(Q$6,R46,0)</f>
        <v>4.7011772880810668E-2</v>
      </c>
      <c r="Z46" s="52"/>
      <c r="AA46" s="149">
        <f t="shared" si="26"/>
        <v>71.691276000000002</v>
      </c>
      <c r="AB46" s="67">
        <f>[1]!srLETt2E(AA$6,AA46,0,1)</f>
        <v>8.0274457325890385</v>
      </c>
      <c r="AC46" s="62">
        <f>[1]!srE2Rng(AA$6,AB46)</f>
        <v>128932.39992272264</v>
      </c>
      <c r="AD46" s="60">
        <f t="shared" si="18"/>
        <v>131.16384787696654</v>
      </c>
      <c r="AE46" s="78">
        <f t="shared" si="31"/>
        <v>-68.141672063530478</v>
      </c>
      <c r="AF46" s="86">
        <f>[1]!srE2Rng(AA$5,AB46)</f>
        <v>68.471219336785879</v>
      </c>
      <c r="AG46" s="78">
        <f t="shared" si="19"/>
        <v>-34.601219336785881</v>
      </c>
      <c r="AH46" s="61">
        <f>[1]!srE2LETe(AA$6,AB46,0)</f>
        <v>71.636034612771951</v>
      </c>
      <c r="AI46" s="29">
        <f>[1]!srE2LETn(AA$6,AB46,0)</f>
        <v>5.5241387228049187E-2</v>
      </c>
      <c r="AJ46" s="52"/>
      <c r="AK46" s="149">
        <f t="shared" si="27"/>
        <v>97.594795999999988</v>
      </c>
      <c r="AL46" s="67">
        <f>[1]!srLETt2E(AK$6,AK46,0,1)</f>
        <v>10.333351391449707</v>
      </c>
      <c r="AM46" s="62">
        <f>[1]!srE2Rng(AK$6,AL46)</f>
        <v>182366.2124649763</v>
      </c>
      <c r="AN46" s="60">
        <f t="shared" si="21"/>
        <v>185.52244559157666</v>
      </c>
      <c r="AO46" s="78">
        <f t="shared" si="32"/>
        <v>-93.45615162683147</v>
      </c>
      <c r="AP46" s="86">
        <f>[1]!srE2Rng(AK$5,AL46)</f>
        <v>97.3823064672724</v>
      </c>
      <c r="AQ46" s="78">
        <f t="shared" si="22"/>
        <v>-47.8123064672724</v>
      </c>
      <c r="AR46" s="61">
        <f>[1]!srE2LETe(AK$6,AL46,0)</f>
        <v>97.504761579551598</v>
      </c>
      <c r="AS46" s="29">
        <f>[1]!srE2LETn(AK$6,AL46,0)</f>
        <v>9.0034420448378796E-2</v>
      </c>
      <c r="AT46" s="52"/>
    </row>
    <row r="47" spans="2:46">
      <c r="B47" s="7"/>
      <c r="C47" s="7"/>
      <c r="D47" s="7"/>
      <c r="E47" s="7"/>
      <c r="F47" s="61">
        <f t="shared" si="28"/>
        <v>0.90999999999999992</v>
      </c>
      <c r="G47" s="149">
        <f t="shared" si="24"/>
        <v>22.875834799999996</v>
      </c>
      <c r="H47" s="67">
        <f>[1]!srLETt2E(G$6,G47,0,1)</f>
        <v>1.4622204138331405</v>
      </c>
      <c r="I47" s="62">
        <f>[1]!srE2Rng(G$6,H47)</f>
        <v>25452.951592303874</v>
      </c>
      <c r="J47" s="60">
        <f t="shared" si="13"/>
        <v>25.89346876870141</v>
      </c>
      <c r="K47" s="78">
        <f t="shared" si="29"/>
        <v>-10.80680424387079</v>
      </c>
      <c r="L47" s="86">
        <f>[1]!srE2Rng(G$5,H47)</f>
        <v>14.867763310665124</v>
      </c>
      <c r="M47" s="78">
        <f t="shared" si="23"/>
        <v>-6.2477633106651247</v>
      </c>
      <c r="N47" s="61">
        <f>[1]!srE2LETe(G$6,H47,0)</f>
        <v>22.845073610880739</v>
      </c>
      <c r="O47" s="29">
        <f>[1]!srE2LETn(G$6,H47,0)</f>
        <v>3.0761189119256911E-2</v>
      </c>
      <c r="P47" s="52"/>
      <c r="Q47" s="149">
        <f t="shared" si="25"/>
        <v>44.164847999999999</v>
      </c>
      <c r="R47" s="67">
        <f>[1]!srLETt2E(Q$6,Q47,0,1)</f>
        <v>4.4229009730821094</v>
      </c>
      <c r="S47" s="62">
        <f>[1]!srE2Rng(Q$6,R47)</f>
        <v>75719.233221521557</v>
      </c>
      <c r="T47" s="60">
        <f t="shared" si="15"/>
        <v>77.029714746493966</v>
      </c>
      <c r="U47" s="78">
        <f t="shared" si="30"/>
        <v>-49.572595695571621</v>
      </c>
      <c r="V47" s="86">
        <f>[1]!srE2Rng(Q$5,R47)</f>
        <v>40.67766397423857</v>
      </c>
      <c r="W47" s="78">
        <f t="shared" si="16"/>
        <v>-25.417663974238572</v>
      </c>
      <c r="X47" s="61">
        <f>[1]!srE2LETe(Q$6,R47,0)</f>
        <v>44.12144951026432</v>
      </c>
      <c r="Y47" s="29">
        <f>[1]!srE2LETn(Q$6,R47,0)</f>
        <v>4.33984897356769E-2</v>
      </c>
      <c r="Z47" s="52"/>
      <c r="AA47" s="149">
        <f t="shared" si="26"/>
        <v>70.912023000000005</v>
      </c>
      <c r="AB47" s="67">
        <f>[1]!srLETt2E(AA$6,AA47,0,1)</f>
        <v>8.3931403402375189</v>
      </c>
      <c r="AC47" s="62">
        <f>[1]!srE2Rng(AA$6,AB47)</f>
        <v>134533.13284452187</v>
      </c>
      <c r="AD47" s="60">
        <f t="shared" si="18"/>
        <v>136.86151333107034</v>
      </c>
      <c r="AE47" s="78">
        <f t="shared" si="31"/>
        <v>-73.839337517634277</v>
      </c>
      <c r="AF47" s="86">
        <f>[1]!srE2Rng(AA$5,AB47)</f>
        <v>71.398671092012705</v>
      </c>
      <c r="AG47" s="78">
        <f t="shared" si="19"/>
        <v>-37.528671092012708</v>
      </c>
      <c r="AH47" s="61">
        <f>[1]!srE2LETe(AA$6,AB47,0)</f>
        <v>70.858950886471547</v>
      </c>
      <c r="AI47" s="29">
        <f>[1]!srE2LETn(AA$6,AB47,0)</f>
        <v>5.3072113528457254E-2</v>
      </c>
      <c r="AJ47" s="52"/>
      <c r="AK47" s="149">
        <f t="shared" si="27"/>
        <v>96.533982999999992</v>
      </c>
      <c r="AL47" s="67">
        <f>[1]!srLETt2E(AK$6,AK47,0,1)</f>
        <v>10.830314845163961</v>
      </c>
      <c r="AM47" s="62">
        <f>[1]!srE2Rng(AK$6,AL47)</f>
        <v>190781.85122578795</v>
      </c>
      <c r="AN47" s="60">
        <f t="shared" si="21"/>
        <v>194.08373478554338</v>
      </c>
      <c r="AO47" s="78">
        <f t="shared" si="32"/>
        <v>-102.0174408207982</v>
      </c>
      <c r="AP47" s="86">
        <f>[1]!srE2Rng(AK$5,AL47)</f>
        <v>101.78005534041874</v>
      </c>
      <c r="AQ47" s="78">
        <f t="shared" si="22"/>
        <v>-52.210055340418741</v>
      </c>
      <c r="AR47" s="61">
        <f>[1]!srE2LETe(AK$6,AL47,0)</f>
        <v>96.44742213542915</v>
      </c>
      <c r="AS47" s="29">
        <f>[1]!srE2LETn(AK$6,AL47,0)</f>
        <v>8.6560864570835783E-2</v>
      </c>
      <c r="AT47" s="52"/>
    </row>
    <row r="48" spans="2:46" s="108" customFormat="1">
      <c r="B48" s="7"/>
      <c r="C48" s="7"/>
      <c r="D48" s="7"/>
      <c r="E48" s="7"/>
      <c r="F48" s="141">
        <f t="shared" si="28"/>
        <v>0.89999999999999991</v>
      </c>
      <c r="G48" s="150">
        <f t="shared" si="24"/>
        <v>22.624451999999994</v>
      </c>
      <c r="H48" s="116">
        <f>[1]!srLETt2E(G$6,G48,0,1)</f>
        <v>1.5273879668049803</v>
      </c>
      <c r="I48" s="111">
        <f>[1]!srE2Rng(G$6,H48)</f>
        <v>26403.150871369311</v>
      </c>
      <c r="J48" s="112">
        <f t="shared" si="13"/>
        <v>26.860113256563594</v>
      </c>
      <c r="K48" s="113">
        <f t="shared" si="29"/>
        <v>-11.773448731732973</v>
      </c>
      <c r="L48" s="114">
        <f>[1]!srE2Rng(G$5,H48)</f>
        <v>15.39129477178424</v>
      </c>
      <c r="M48" s="113">
        <f t="shared" si="23"/>
        <v>-6.7712947717842411</v>
      </c>
      <c r="N48" s="109">
        <f>[1]!srE2LETe(G$6,H48,0)</f>
        <v>22.594830207468874</v>
      </c>
      <c r="O48" s="117">
        <f>[1]!srE2LETn(G$6,H48,0)</f>
        <v>2.9621792531120315E-2</v>
      </c>
      <c r="P48" s="115"/>
      <c r="Q48" s="150">
        <f t="shared" si="25"/>
        <v>43.679519999999997</v>
      </c>
      <c r="R48" s="116">
        <f>[1]!srLETt2E(Q$6,Q48,0,1)</f>
        <v>4.7923863186749411</v>
      </c>
      <c r="S48" s="111">
        <f>[1]!srE2Rng(Q$6,R48)</f>
        <v>81590.582367281968</v>
      </c>
      <c r="T48" s="112">
        <f t="shared" si="15"/>
        <v>83.002680010839086</v>
      </c>
      <c r="U48" s="113">
        <f t="shared" si="30"/>
        <v>-55.545560959916742</v>
      </c>
      <c r="V48" s="114">
        <f>[1]!srE2Rng(Q$5,R48)</f>
        <v>43.682460445793332</v>
      </c>
      <c r="W48" s="113">
        <f t="shared" si="16"/>
        <v>-28.422460445793334</v>
      </c>
      <c r="X48" s="109">
        <f>[1]!srE2LETe(Q$6,R48,0)</f>
        <v>43.639032787700877</v>
      </c>
      <c r="Y48" s="117">
        <f>[1]!srE2LETn(Q$6,R48,0)</f>
        <v>4.0487212299119349E-2</v>
      </c>
      <c r="Z48" s="115"/>
      <c r="AA48" s="150">
        <f t="shared" si="26"/>
        <v>70.132769999999994</v>
      </c>
      <c r="AB48" s="116">
        <f>[1]!srLETt2E(AA$6,AA48,0,1)</f>
        <v>8.7479352088102651</v>
      </c>
      <c r="AC48" s="111">
        <f>[1]!srE2Rng(AA$6,AB48)</f>
        <v>140068.78430194128</v>
      </c>
      <c r="AD48" s="112">
        <f t="shared" si="18"/>
        <v>142.49297094836479</v>
      </c>
      <c r="AE48" s="113">
        <f t="shared" si="31"/>
        <v>-79.470795134928721</v>
      </c>
      <c r="AF48" s="114">
        <f>[1]!srE2Rng(AA$5,AB48)</f>
        <v>74.297629004146899</v>
      </c>
      <c r="AG48" s="113">
        <f t="shared" si="19"/>
        <v>-40.427629004146901</v>
      </c>
      <c r="AH48" s="109">
        <f>[1]!srE2LETe(AA$6,AB48,0)</f>
        <v>70.081524370454943</v>
      </c>
      <c r="AI48" s="117">
        <f>[1]!srE2LETn(AA$6,AB48,0)</f>
        <v>5.124562954504476E-2</v>
      </c>
      <c r="AJ48" s="115"/>
      <c r="AK48" s="150">
        <f t="shared" si="27"/>
        <v>95.473169999999996</v>
      </c>
      <c r="AL48" s="116">
        <f>[1]!srLETt2E(AK$6,AK48,0,1)</f>
        <v>11.327278298878218</v>
      </c>
      <c r="AM48" s="111">
        <f>[1]!srE2Rng(AK$6,AL48)</f>
        <v>199197.4899865996</v>
      </c>
      <c r="AN48" s="112">
        <f t="shared" si="21"/>
        <v>202.64502397951011</v>
      </c>
      <c r="AO48" s="113">
        <f t="shared" si="32"/>
        <v>-110.57873001476493</v>
      </c>
      <c r="AP48" s="114">
        <f>[1]!srE2Rng(AK$5,AL48)</f>
        <v>106.17780421356508</v>
      </c>
      <c r="AQ48" s="113">
        <f t="shared" si="22"/>
        <v>-56.607804213565082</v>
      </c>
      <c r="AR48" s="109">
        <f>[1]!srE2LETe(AK$6,AL48,0)</f>
        <v>95.390082691306702</v>
      </c>
      <c r="AS48" s="117">
        <f>[1]!srE2LETn(AK$6,AL48,0)</f>
        <v>8.3087308693292769E-2</v>
      </c>
      <c r="AT48" s="115"/>
    </row>
    <row r="49" spans="2:46">
      <c r="B49" s="7"/>
      <c r="C49" s="7"/>
      <c r="D49" s="7"/>
      <c r="E49" s="7"/>
      <c r="F49" s="61">
        <f>F48-0.02</f>
        <v>0.87999999999999989</v>
      </c>
      <c r="G49" s="149">
        <f t="shared" si="24"/>
        <v>22.121686399999994</v>
      </c>
      <c r="H49" s="67">
        <f>[1]!srLETt2E(G$6,G49,0,1)</f>
        <v>1.6592119853594107</v>
      </c>
      <c r="I49" s="62">
        <f>[1]!srE2Rng(G$6,H49)</f>
        <v>28357.28521863429</v>
      </c>
      <c r="J49" s="60">
        <f t="shared" si="13"/>
        <v>28.848068032938212</v>
      </c>
      <c r="K49" s="78">
        <f t="shared" si="29"/>
        <v>-13.761403508107591</v>
      </c>
      <c r="L49" s="86">
        <f>[1]!srE2Rng(G$5,H49)</f>
        <v>16.459169800532791</v>
      </c>
      <c r="M49" s="78">
        <f t="shared" si="23"/>
        <v>-7.8391698005327921</v>
      </c>
      <c r="N49" s="61">
        <f>[1]!srE2LETe(G$6,H49,0)</f>
        <v>22.094099893877367</v>
      </c>
      <c r="O49" s="29">
        <f>[1]!srE2LETn(G$6,H49,0)</f>
        <v>2.7586506122625757E-2</v>
      </c>
      <c r="P49" s="52"/>
      <c r="Q49" s="149">
        <f t="shared" si="25"/>
        <v>42.708863999999998</v>
      </c>
      <c r="R49" s="67">
        <f>[1]!srLETt2E(Q$6,Q49,0,1)</f>
        <v>5.503877709144426</v>
      </c>
      <c r="S49" s="62">
        <f>[1]!srE2Rng(Q$6,R49)</f>
        <v>93088.447166812955</v>
      </c>
      <c r="T49" s="60">
        <f t="shared" si="15"/>
        <v>94.699539685982899</v>
      </c>
      <c r="U49" s="78">
        <f t="shared" si="30"/>
        <v>-67.242420635060554</v>
      </c>
      <c r="V49" s="86">
        <f>[1]!srE2Rng(Q$5,R49)</f>
        <v>49.602433338867684</v>
      </c>
      <c r="W49" s="78">
        <f t="shared" si="16"/>
        <v>-34.342433338867686</v>
      </c>
      <c r="X49" s="61">
        <f>[1]!srE2LETe(Q$6,R49,0)</f>
        <v>42.672927776855389</v>
      </c>
      <c r="Y49" s="29">
        <f>[1]!srE2LETn(Q$6,R49,0)</f>
        <v>3.5936223144612311E-2</v>
      </c>
      <c r="Z49" s="52"/>
      <c r="AA49" s="149">
        <f t="shared" si="26"/>
        <v>68.574263999999999</v>
      </c>
      <c r="AB49" s="67">
        <f>[1]!srLETt2E(AA$6,AA49,0,1)</f>
        <v>9.44903823864448</v>
      </c>
      <c r="AC49" s="62">
        <f>[1]!srE2Rng(AA$6,AB49)</f>
        <v>151149.49335712986</v>
      </c>
      <c r="AD49" s="60">
        <f t="shared" si="18"/>
        <v>153.76545511646208</v>
      </c>
      <c r="AE49" s="78">
        <f t="shared" si="31"/>
        <v>-90.743279303026014</v>
      </c>
      <c r="AF49" s="86">
        <f>[1]!srE2Rng(AA$5,AB49)</f>
        <v>80.101838516318026</v>
      </c>
      <c r="AG49" s="78">
        <f t="shared" si="19"/>
        <v>-46.231838516318028</v>
      </c>
      <c r="AH49" s="61">
        <f>[1]!srE2LETe(AA$6,AB49,0)</f>
        <v>68.52635819248178</v>
      </c>
      <c r="AI49" s="29">
        <f>[1]!srE2LETn(AA$6,AB49,0)</f>
        <v>4.7905807518214327E-2</v>
      </c>
      <c r="AJ49" s="52"/>
      <c r="AK49" s="149">
        <f t="shared" si="27"/>
        <v>93.35154399999999</v>
      </c>
      <c r="AL49" s="67">
        <f>[1]!srLETt2E(AK$6,AK49,0,1)</f>
        <v>12.318439864093708</v>
      </c>
      <c r="AM49" s="62">
        <f>[1]!srE2Rng(AK$6,AL49)</f>
        <v>216413.16654521911</v>
      </c>
      <c r="AN49" s="60">
        <f t="shared" si="21"/>
        <v>220.15865424302211</v>
      </c>
      <c r="AO49" s="78">
        <f t="shared" si="32"/>
        <v>-128.09236027827694</v>
      </c>
      <c r="AP49" s="86">
        <f>[1]!srE2Rng(AK$5,AL49)</f>
        <v>115.15384066067531</v>
      </c>
      <c r="AQ49" s="78">
        <f t="shared" si="22"/>
        <v>-65.583840660675321</v>
      </c>
      <c r="AR49" s="61">
        <f>[1]!srE2LETe(AK$6,AL49,0)</f>
        <v>93.274218039025172</v>
      </c>
      <c r="AS49" s="29">
        <f>[1]!srE2LETn(AK$6,AL49,0)</f>
        <v>7.7325960974819821E-2</v>
      </c>
      <c r="AT49" s="52"/>
    </row>
    <row r="50" spans="2:46">
      <c r="B50" s="7"/>
      <c r="C50" s="7"/>
      <c r="D50" s="7"/>
      <c r="E50" s="7"/>
      <c r="F50" s="61">
        <f t="shared" ref="F50:F63" si="33">F49-0.02</f>
        <v>0.85999999999999988</v>
      </c>
      <c r="G50" s="149">
        <f t="shared" si="24"/>
        <v>21.618920799999994</v>
      </c>
      <c r="H50" s="67">
        <f>[1]!srLETt2E(G$6,G50,0,1)</f>
        <v>1.7979484682537887</v>
      </c>
      <c r="I50" s="62">
        <f>[1]!srE2Rng(G$6,H50)</f>
        <v>30476.078166028954</v>
      </c>
      <c r="J50" s="60">
        <f t="shared" si="13"/>
        <v>31.003531174874855</v>
      </c>
      <c r="K50" s="78">
        <f t="shared" si="29"/>
        <v>-15.916866650044234</v>
      </c>
      <c r="L50" s="86">
        <f>[1]!srE2Rng(G$5,H50)</f>
        <v>17.595095378411219</v>
      </c>
      <c r="M50" s="78">
        <f t="shared" si="23"/>
        <v>-8.9750953784112202</v>
      </c>
      <c r="N50" s="61">
        <f>[1]!srE2LETe(G$6,H50,0)</f>
        <v>21.593139330476816</v>
      </c>
      <c r="O50" s="29">
        <f>[1]!srE2LETn(G$6,H50,0)</f>
        <v>2.5781469523176656E-2</v>
      </c>
      <c r="P50" s="52"/>
      <c r="Q50" s="149">
        <f t="shared" si="25"/>
        <v>41.738207999999993</v>
      </c>
      <c r="R50" s="67">
        <f>[1]!srLETt2E(Q$6,Q50,0,1)</f>
        <v>6.1810865613849604</v>
      </c>
      <c r="S50" s="62">
        <f>[1]!srE2Rng(Q$6,R50)</f>
        <v>104280.72746857353</v>
      </c>
      <c r="T50" s="60">
        <f t="shared" si="15"/>
        <v>106.08552607711789</v>
      </c>
      <c r="U50" s="78">
        <f t="shared" si="30"/>
        <v>-78.628407026195546</v>
      </c>
      <c r="V50" s="86">
        <f>[1]!srE2Rng(Q$5,R50)</f>
        <v>55.386445437565207</v>
      </c>
      <c r="W50" s="78">
        <f t="shared" si="16"/>
        <v>-40.126445437565209</v>
      </c>
      <c r="X50" s="61">
        <f>[1]!srE2LETe(Q$6,R50,0)</f>
        <v>41.705723881879742</v>
      </c>
      <c r="Y50" s="29">
        <f>[1]!srE2LETn(Q$6,R50,0)</f>
        <v>3.248411812025162E-2</v>
      </c>
      <c r="Z50" s="52"/>
      <c r="AA50" s="149">
        <f t="shared" si="26"/>
        <v>67.015757999999991</v>
      </c>
      <c r="AB50" s="67">
        <f>[1]!srLETt2E(AA$6,AA50,0,1)</f>
        <v>10.140560842236365</v>
      </c>
      <c r="AC50" s="62">
        <f>[1]!srE2Rng(AA$6,AB50)</f>
        <v>162328.41067195986</v>
      </c>
      <c r="AD50" s="60">
        <f t="shared" si="18"/>
        <v>165.13784724590647</v>
      </c>
      <c r="AE50" s="78">
        <f t="shared" si="31"/>
        <v>-102.11567143247041</v>
      </c>
      <c r="AF50" s="86">
        <f>[1]!srE2Rng(AA$5,AB50)</f>
        <v>85.959867429505536</v>
      </c>
      <c r="AG50" s="78">
        <f t="shared" si="19"/>
        <v>-52.089867429505539</v>
      </c>
      <c r="AH50" s="61">
        <f>[1]!srE2LETe(AA$6,AB50,0)</f>
        <v>66.970726066904078</v>
      </c>
      <c r="AI50" s="29">
        <f>[1]!srE2LETn(AA$6,AB50,0)</f>
        <v>4.5031933095919192E-2</v>
      </c>
      <c r="AJ50" s="52"/>
      <c r="AK50" s="149">
        <f t="shared" si="27"/>
        <v>91.229917999999984</v>
      </c>
      <c r="AL50" s="67">
        <f>[1]!srLETt2E(AK$6,AK50,0,1)</f>
        <v>13.318848948981422</v>
      </c>
      <c r="AM50" s="62">
        <f>[1]!srE2Rng(AK$6,AL50)</f>
        <v>234157.00510838995</v>
      </c>
      <c r="AN50" s="60">
        <f t="shared" si="21"/>
        <v>238.20958747197093</v>
      </c>
      <c r="AO50" s="78">
        <f t="shared" si="32"/>
        <v>-146.14329350722574</v>
      </c>
      <c r="AP50" s="86">
        <f>[1]!srE2Rng(AK$5,AL50)</f>
        <v>124.37893759692683</v>
      </c>
      <c r="AQ50" s="78">
        <f t="shared" si="22"/>
        <v>-74.808937596926825</v>
      </c>
      <c r="AR50" s="61">
        <f>[1]!srE2LETe(AK$6,AL50,0)</f>
        <v>91.157674565301051</v>
      </c>
      <c r="AS50" s="29">
        <f>[1]!srE2LETn(AK$6,AL50,0)</f>
        <v>7.2243434698933809E-2</v>
      </c>
      <c r="AT50" s="52"/>
    </row>
    <row r="51" spans="2:46">
      <c r="B51" s="7"/>
      <c r="C51" s="7"/>
      <c r="D51" s="7"/>
      <c r="E51" s="7"/>
      <c r="F51" s="61">
        <f t="shared" si="33"/>
        <v>0.83999999999999986</v>
      </c>
      <c r="G51" s="149">
        <f t="shared" si="24"/>
        <v>21.116155199999994</v>
      </c>
      <c r="H51" s="67">
        <f>[1]!srLETt2E(G$6,G51,0,1)</f>
        <v>1.9419479641637853</v>
      </c>
      <c r="I51" s="62">
        <f>[1]!srE2Rng(G$6,H51)</f>
        <v>32716.710322388499</v>
      </c>
      <c r="J51" s="60">
        <f t="shared" si="13"/>
        <v>33.282942211054504</v>
      </c>
      <c r="K51" s="78">
        <f t="shared" si="29"/>
        <v>-18.196277686223883</v>
      </c>
      <c r="L51" s="86">
        <f>[1]!srE2Rng(G$5,H51)</f>
        <v>18.781651224709591</v>
      </c>
      <c r="M51" s="78">
        <f t="shared" si="23"/>
        <v>-10.161651224709592</v>
      </c>
      <c r="N51" s="61">
        <f>[1]!srE2LETe(G$6,H51,0)</f>
        <v>21.092021084710026</v>
      </c>
      <c r="O51" s="29">
        <f>[1]!srE2LETn(G$6,H51,0)</f>
        <v>2.4134115289966295E-2</v>
      </c>
      <c r="P51" s="52"/>
      <c r="Q51" s="149">
        <f t="shared" si="25"/>
        <v>40.767551999999995</v>
      </c>
      <c r="R51" s="67">
        <f>[1]!srLETt2E(Q$6,Q51,0,1)</f>
        <v>6.8366710322530402</v>
      </c>
      <c r="S51" s="62">
        <f>[1]!srE2Rng(Q$6,R51)</f>
        <v>115363.48266200439</v>
      </c>
      <c r="T51" s="60">
        <f t="shared" si="15"/>
        <v>117.36009179620864</v>
      </c>
      <c r="U51" s="78">
        <f t="shared" si="30"/>
        <v>-89.902972745286291</v>
      </c>
      <c r="V51" s="86">
        <f>[1]!srE2Rng(Q$5,R51)</f>
        <v>61.143718871181065</v>
      </c>
      <c r="W51" s="78">
        <f t="shared" si="16"/>
        <v>-45.883718871181067</v>
      </c>
      <c r="X51" s="61">
        <f>[1]!srE2LETe(Q$6,R51,0)</f>
        <v>40.737809472575258</v>
      </c>
      <c r="Y51" s="29">
        <f>[1]!srE2LETn(Q$6,R51,0)</f>
        <v>2.9742527424741656E-2</v>
      </c>
      <c r="Z51" s="52"/>
      <c r="AA51" s="149">
        <f t="shared" si="26"/>
        <v>65.457251999999997</v>
      </c>
      <c r="AB51" s="67">
        <f>[1]!srLETt2E(AA$6,AA51,0,1)</f>
        <v>10.83254511043088</v>
      </c>
      <c r="AC51" s="62">
        <f>[1]!srE2Rng(AA$6,AB51)</f>
        <v>173771.73420855173</v>
      </c>
      <c r="AD51" s="60">
        <f t="shared" si="18"/>
        <v>176.77922170616674</v>
      </c>
      <c r="AE51" s="78">
        <f t="shared" si="31"/>
        <v>-113.75704589273067</v>
      </c>
      <c r="AF51" s="86">
        <f>[1]!srE2Rng(AA$5,AB51)</f>
        <v>91.951070574819951</v>
      </c>
      <c r="AG51" s="78">
        <f t="shared" si="19"/>
        <v>-58.081070574819954</v>
      </c>
      <c r="AH51" s="61">
        <f>[1]!srE2LETe(AA$6,AB51,0)</f>
        <v>65.414758367650791</v>
      </c>
      <c r="AI51" s="29">
        <f>[1]!srE2LETn(AA$6,AB51,0)</f>
        <v>4.2493632349205029E-2</v>
      </c>
      <c r="AJ51" s="52"/>
      <c r="AK51" s="149">
        <f t="shared" si="27"/>
        <v>89.108291999999977</v>
      </c>
      <c r="AL51" s="67">
        <f>[1]!srLETt2E(AK$6,AK51,0,1)</f>
        <v>14.33784677531046</v>
      </c>
      <c r="AM51" s="62">
        <f>[1]!srE2Rng(AK$6,AL51)</f>
        <v>252630.35318966242</v>
      </c>
      <c r="AN51" s="60">
        <f t="shared" si="21"/>
        <v>257.00265592460624</v>
      </c>
      <c r="AO51" s="78">
        <f t="shared" si="32"/>
        <v>-164.93636195986107</v>
      </c>
      <c r="AP51" s="86">
        <f>[1]!srE2Rng(AK$5,AL51)</f>
        <v>133.94253696805129</v>
      </c>
      <c r="AQ51" s="78">
        <f t="shared" si="22"/>
        <v>-84.372536968051293</v>
      </c>
      <c r="AR51" s="61">
        <f>[1]!srE2LETe(AK$6,AL51,0)</f>
        <v>89.04058399192283</v>
      </c>
      <c r="AS51" s="29">
        <f>[1]!srE2LETn(AK$6,AL51,0)</f>
        <v>6.7708008077150661E-2</v>
      </c>
      <c r="AT51" s="52"/>
    </row>
    <row r="52" spans="2:46">
      <c r="B52" s="7"/>
      <c r="C52" s="7"/>
      <c r="D52" s="7"/>
      <c r="E52" s="7"/>
      <c r="F52" s="61">
        <f t="shared" si="33"/>
        <v>0.81999999999999984</v>
      </c>
      <c r="G52" s="149">
        <f t="shared" si="24"/>
        <v>20.613389599999994</v>
      </c>
      <c r="H52" s="67">
        <f>[1]!srLETt2E(G$6,G52,0,1)</f>
        <v>2.1288407439847514</v>
      </c>
      <c r="I52" s="62">
        <f>[1]!srE2Rng(G$6,H52)</f>
        <v>35691.759163274801</v>
      </c>
      <c r="J52" s="60">
        <f t="shared" si="13"/>
        <v>36.309480566242492</v>
      </c>
      <c r="K52" s="78">
        <f t="shared" si="29"/>
        <v>-21.222816041411871</v>
      </c>
      <c r="L52" s="86">
        <f>[1]!srE2Rng(G$5,H52)</f>
        <v>20.342262249471911</v>
      </c>
      <c r="M52" s="78">
        <f t="shared" si="23"/>
        <v>-11.722262249471912</v>
      </c>
      <c r="N52" s="61">
        <f>[1]!srE2LETe(G$6,H52,0)</f>
        <v>20.591089473955375</v>
      </c>
      <c r="O52" s="29">
        <f>[1]!srE2LETn(G$6,H52,0)</f>
        <v>2.2300126044618458E-2</v>
      </c>
      <c r="P52" s="52"/>
      <c r="Q52" s="149">
        <f t="shared" si="25"/>
        <v>39.796895999999997</v>
      </c>
      <c r="R52" s="67">
        <f>[1]!srLETt2E(Q$6,Q52,0,1)</f>
        <v>7.4732225822330287</v>
      </c>
      <c r="S52" s="62">
        <f>[1]!srE2Rng(Q$6,R52)</f>
        <v>126383.24523553852</v>
      </c>
      <c r="T52" s="60">
        <f t="shared" si="15"/>
        <v>128.57057467484609</v>
      </c>
      <c r="U52" s="78">
        <f t="shared" si="30"/>
        <v>-101.11345562392374</v>
      </c>
      <c r="V52" s="86">
        <f>[1]!srE2Rng(Q$5,R52)</f>
        <v>66.88372568416257</v>
      </c>
      <c r="W52" s="78">
        <f t="shared" si="16"/>
        <v>-51.623725684162572</v>
      </c>
      <c r="X52" s="61">
        <f>[1]!srE2LETe(Q$6,R52,0)</f>
        <v>39.769387176900629</v>
      </c>
      <c r="Y52" s="29">
        <f>[1]!srE2LETn(Q$6,R52,0)</f>
        <v>2.750882309936763E-2</v>
      </c>
      <c r="Z52" s="52"/>
      <c r="AA52" s="149">
        <f t="shared" si="26"/>
        <v>63.898745999999996</v>
      </c>
      <c r="AB52" s="67">
        <f>[1]!srLETt2E(AA$6,AA52,0,1)</f>
        <v>11.533165724527983</v>
      </c>
      <c r="AC52" s="62">
        <f>[1]!srE2Rng(AA$6,AB52)</f>
        <v>185639.2639209741</v>
      </c>
      <c r="AD52" s="60">
        <f t="shared" si="18"/>
        <v>188.8521441275947</v>
      </c>
      <c r="AE52" s="78">
        <f t="shared" si="31"/>
        <v>-125.82996831415863</v>
      </c>
      <c r="AF52" s="86">
        <f>[1]!srE2Rng(AA$5,AB52)</f>
        <v>98.148408906054485</v>
      </c>
      <c r="AG52" s="78">
        <f t="shared" si="19"/>
        <v>-64.278408906054494</v>
      </c>
      <c r="AH52" s="61">
        <f>[1]!srE2LETe(AA$6,AB52,0)</f>
        <v>63.858527264414285</v>
      </c>
      <c r="AI52" s="29">
        <f>[1]!srE2LETn(AA$6,AB52,0)</f>
        <v>4.0218735585715662E-2</v>
      </c>
      <c r="AJ52" s="52"/>
      <c r="AK52" s="149">
        <f t="shared" si="27"/>
        <v>86.986665999999985</v>
      </c>
      <c r="AL52" s="67">
        <f>[1]!srLETt2E(AK$6,AK52,0,1)</f>
        <v>15.386768875163636</v>
      </c>
      <c r="AM52" s="62">
        <f>[1]!srE2Rng(AK$6,AL52)</f>
        <v>272088.29809319385</v>
      </c>
      <c r="AN52" s="60">
        <f t="shared" si="21"/>
        <v>276.79736173055471</v>
      </c>
      <c r="AO52" s="78">
        <f t="shared" si="32"/>
        <v>-184.73106776580954</v>
      </c>
      <c r="AP52" s="86">
        <f>[1]!srE2Rng(AK$5,AL52)</f>
        <v>143.96345281679004</v>
      </c>
      <c r="AQ52" s="78">
        <f t="shared" si="22"/>
        <v>-94.393452816790045</v>
      </c>
      <c r="AR52" s="61">
        <f>[1]!srE2LETe(AK$6,AL52,0)</f>
        <v>86.923056270872806</v>
      </c>
      <c r="AS52" s="29">
        <f>[1]!srE2LETn(AK$6,AL52,0)</f>
        <v>6.3609729127186668E-2</v>
      </c>
      <c r="AT52" s="52"/>
    </row>
    <row r="53" spans="2:46" s="108" customFormat="1">
      <c r="B53" s="7"/>
      <c r="C53" s="7"/>
      <c r="D53" s="7"/>
      <c r="E53" s="7"/>
      <c r="F53" s="141">
        <f t="shared" si="33"/>
        <v>0.79999999999999982</v>
      </c>
      <c r="G53" s="150">
        <f t="shared" si="24"/>
        <v>20.110623999999994</v>
      </c>
      <c r="H53" s="116">
        <f>[1]!srLETt2E(G$6,G53,0,1)</f>
        <v>2.3285694949063207</v>
      </c>
      <c r="I53" s="111">
        <f>[1]!srE2Rng(G$6,H53)</f>
        <v>38947.39639524118</v>
      </c>
      <c r="J53" s="112">
        <f t="shared" si="13"/>
        <v>39.621463488240131</v>
      </c>
      <c r="K53" s="113">
        <f t="shared" si="29"/>
        <v>-24.534798963409511</v>
      </c>
      <c r="L53" s="114">
        <f>[1]!srE2Rng(G$5,H53)</f>
        <v>22.038840435990611</v>
      </c>
      <c r="M53" s="113">
        <f t="shared" si="23"/>
        <v>-13.418840435990612</v>
      </c>
      <c r="N53" s="109">
        <f>[1]!srE2LETe(G$6,H53,0)</f>
        <v>20.090005414262301</v>
      </c>
      <c r="O53" s="117">
        <f>[1]!srE2LETn(G$6,H53,0)</f>
        <v>2.0618585737693228E-2</v>
      </c>
      <c r="P53" s="115"/>
      <c r="Q53" s="150">
        <f t="shared" si="25"/>
        <v>38.826239999999991</v>
      </c>
      <c r="R53" s="116">
        <f>[1]!srLETt2E(Q$6,Q53,0,1)</f>
        <v>8.0961338145940207</v>
      </c>
      <c r="S53" s="111">
        <f>[1]!srE2Rng(Q$6,R53)</f>
        <v>137432.04125880139</v>
      </c>
      <c r="T53" s="112">
        <f t="shared" si="15"/>
        <v>139.81059348848396</v>
      </c>
      <c r="U53" s="113">
        <f t="shared" si="30"/>
        <v>-112.35347443756162</v>
      </c>
      <c r="V53" s="114">
        <f>[1]!srE2Rng(Q$5,R53)</f>
        <v>72.656396831530174</v>
      </c>
      <c r="W53" s="113">
        <f t="shared" si="16"/>
        <v>-57.396396831530176</v>
      </c>
      <c r="X53" s="109">
        <f>[1]!srE2LETe(Q$6,R53,0)</f>
        <v>38.800600528078306</v>
      </c>
      <c r="Y53" s="117">
        <f>[1]!srE2LETn(Q$6,R53,0)</f>
        <v>2.5639471921689836E-2</v>
      </c>
      <c r="Z53" s="115"/>
      <c r="AA53" s="150">
        <f t="shared" si="26"/>
        <v>62.340239999999994</v>
      </c>
      <c r="AB53" s="116">
        <f>[1]!srLETt2E(AA$6,AA53,0,1)</f>
        <v>12.246497801895803</v>
      </c>
      <c r="AC53" s="111">
        <f>[1]!srE2Rng(AA$6,AB53)</f>
        <v>198021.01443288804</v>
      </c>
      <c r="AD53" s="112">
        <f t="shared" si="18"/>
        <v>201.44818702735162</v>
      </c>
      <c r="AE53" s="113">
        <f t="shared" si="31"/>
        <v>-138.42601121391556</v>
      </c>
      <c r="AF53" s="114">
        <f>[1]!srE2Rng(AA$5,AB53)</f>
        <v>104.6059859185322</v>
      </c>
      <c r="AG53" s="113">
        <f t="shared" si="19"/>
        <v>-70.735985918532208</v>
      </c>
      <c r="AH53" s="109">
        <f>[1]!srE2LETe(AA$6,AB53,0)</f>
        <v>62.302089100426016</v>
      </c>
      <c r="AI53" s="117">
        <f>[1]!srE2LETn(AA$6,AB53,0)</f>
        <v>3.8150899573980109E-2</v>
      </c>
      <c r="AJ53" s="115"/>
      <c r="AK53" s="150">
        <f t="shared" si="27"/>
        <v>84.865039999999979</v>
      </c>
      <c r="AL53" s="116">
        <f>[1]!srLETt2E(AK$6,AK53,0,1)</f>
        <v>16.479324978334027</v>
      </c>
      <c r="AM53" s="111">
        <f>[1]!srE2Rng(AK$6,AL53)</f>
        <v>292845.42187937506</v>
      </c>
      <c r="AN53" s="112">
        <f t="shared" si="21"/>
        <v>297.91373145830244</v>
      </c>
      <c r="AO53" s="113">
        <f t="shared" si="32"/>
        <v>-205.84743749355727</v>
      </c>
      <c r="AP53" s="114">
        <f>[1]!srE2Rng(AK$5,AL53)</f>
        <v>154.61320898580959</v>
      </c>
      <c r="AQ53" s="113">
        <f t="shared" si="22"/>
        <v>-105.0432089858096</v>
      </c>
      <c r="AR53" s="109">
        <f>[1]!srE2LETe(AK$6,AL53,0)</f>
        <v>84.805158115999049</v>
      </c>
      <c r="AS53" s="117">
        <f>[1]!srE2LETn(AK$6,AL53,0)</f>
        <v>5.9881884000925173E-2</v>
      </c>
      <c r="AT53" s="115"/>
    </row>
    <row r="54" spans="2:46">
      <c r="B54" s="7"/>
      <c r="C54" s="7"/>
      <c r="D54" s="7"/>
      <c r="E54" s="7"/>
      <c r="F54" s="61">
        <f t="shared" si="33"/>
        <v>0.7799999999999998</v>
      </c>
      <c r="G54" s="149">
        <f t="shared" si="24"/>
        <v>19.607858399999994</v>
      </c>
      <c r="H54" s="67">
        <f>[1]!srLETt2E(G$6,G54,0,1)</f>
        <v>2.5094007418553401</v>
      </c>
      <c r="I54" s="62">
        <f>[1]!srE2Rng(G$6,H54)</f>
        <v>41961.316730237639</v>
      </c>
      <c r="J54" s="60">
        <f t="shared" ref="J54:J73" si="34">IF(H54&gt;H$11,NA(),I54/$C$9/1000)</f>
        <v>42.687546090981648</v>
      </c>
      <c r="K54" s="78">
        <f t="shared" si="29"/>
        <v>-27.600881566151028</v>
      </c>
      <c r="L54" s="86">
        <f>[1]!srE2Rng(G$5,H54)</f>
        <v>23.603102558001208</v>
      </c>
      <c r="M54" s="78">
        <f t="shared" si="23"/>
        <v>-14.983102558001208</v>
      </c>
      <c r="N54" s="61">
        <f>[1]!srE2LETe(G$6,H54,0)</f>
        <v>19.588566308569824</v>
      </c>
      <c r="O54" s="29">
        <f>[1]!srE2LETn(G$6,H54,0)</f>
        <v>1.9292091430171104E-2</v>
      </c>
      <c r="P54" s="52"/>
      <c r="Q54" s="149">
        <f t="shared" si="25"/>
        <v>37.855583999999993</v>
      </c>
      <c r="R54" s="67">
        <f>[1]!srLETt2E(Q$6,Q54,0,1)</f>
        <v>8.7163965094294351</v>
      </c>
      <c r="S54" s="62">
        <f>[1]!srE2Rng(Q$6,R54)</f>
        <v>148800.83799308565</v>
      </c>
      <c r="T54" s="60">
        <f t="shared" ref="T54:T73" si="35">IF(R54&gt;R$11,NA(),S54/$C$9/1000)</f>
        <v>151.37615130245135</v>
      </c>
      <c r="U54" s="78">
        <f t="shared" si="30"/>
        <v>-123.919032251529</v>
      </c>
      <c r="V54" s="86">
        <f>[1]!srE2Rng(Q$5,R54)</f>
        <v>78.609349857201195</v>
      </c>
      <c r="W54" s="78">
        <f t="shared" si="16"/>
        <v>-63.349349857201197</v>
      </c>
      <c r="X54" s="61">
        <f>[1]!srE2LETe(Q$6,R54,0)</f>
        <v>37.831502093667453</v>
      </c>
      <c r="Y54" s="29">
        <f>[1]!srE2LETn(Q$6,R54,0)</f>
        <v>2.4081906332538799E-2</v>
      </c>
      <c r="Z54" s="52"/>
      <c r="AA54" s="149">
        <f t="shared" si="26"/>
        <v>60.781733999999993</v>
      </c>
      <c r="AB54" s="67">
        <f>[1]!srLETt2E(AA$6,AA54,0,1)</f>
        <v>12.977476750595303</v>
      </c>
      <c r="AC54" s="62">
        <f>[1]!srE2Rng(AA$6,AB54)</f>
        <v>211026.41379573618</v>
      </c>
      <c r="AD54" s="60">
        <f t="shared" ref="AD54:AD73" si="36">IF(AB54&gt;AB$11,NA(),AC54/$C$9/1000)</f>
        <v>214.67867234081996</v>
      </c>
      <c r="AE54" s="78">
        <f t="shared" si="31"/>
        <v>-151.65649652738389</v>
      </c>
      <c r="AF54" s="86">
        <f>[1]!srE2Rng(AA$5,AB54)</f>
        <v>111.37272826522631</v>
      </c>
      <c r="AG54" s="78">
        <f t="shared" si="19"/>
        <v>-77.502728265226324</v>
      </c>
      <c r="AH54" s="61">
        <f>[1]!srE2LETe(AA$6,AB54,0)</f>
        <v>60.745477182066296</v>
      </c>
      <c r="AI54" s="29">
        <f>[1]!srE2LETn(AA$6,AB54,0)</f>
        <v>3.6256817933693418E-2</v>
      </c>
      <c r="AJ54" s="52"/>
      <c r="AK54" s="149">
        <f t="shared" si="27"/>
        <v>82.743413999999973</v>
      </c>
      <c r="AL54" s="67">
        <f>[1]!srLETt2E(AK$6,AK54,0,1)</f>
        <v>17.641799868155815</v>
      </c>
      <c r="AM54" s="62">
        <f>[1]!srE2Rng(AK$6,AL54)</f>
        <v>315562.12712640921</v>
      </c>
      <c r="AN54" s="60">
        <f t="shared" ref="AN54:AN72" si="37">IF(AL54&gt;AL$11,NA(),AM54/$C$9/1000)</f>
        <v>321.02359734983736</v>
      </c>
      <c r="AO54" s="78">
        <f t="shared" si="32"/>
        <v>-228.95730338509219</v>
      </c>
      <c r="AP54" s="86">
        <f>[1]!srE2Rng(AK$5,AL54)</f>
        <v>166.20600682871182</v>
      </c>
      <c r="AQ54" s="78">
        <f t="shared" si="22"/>
        <v>-116.63600682871183</v>
      </c>
      <c r="AR54" s="61">
        <f>[1]!srE2LETe(AK$6,AL54,0)</f>
        <v>82.686984535993332</v>
      </c>
      <c r="AS54" s="29">
        <f>[1]!srE2LETn(AK$6,AL54,0)</f>
        <v>5.6429464006638501E-2</v>
      </c>
      <c r="AT54" s="52"/>
    </row>
    <row r="55" spans="2:46">
      <c r="B55" s="7"/>
      <c r="C55" s="7"/>
      <c r="D55" s="7"/>
      <c r="E55" s="7"/>
      <c r="F55" s="61">
        <f t="shared" si="33"/>
        <v>0.75999999999999979</v>
      </c>
      <c r="G55" s="149">
        <f t="shared" si="24"/>
        <v>19.105092799999994</v>
      </c>
      <c r="H55" s="67">
        <f>[1]!srLETt2E(G$6,G55,0,1)</f>
        <v>2.729317808027437</v>
      </c>
      <c r="I55" s="62">
        <f>[1]!srE2Rng(G$6,H55)</f>
        <v>45735.093585750816</v>
      </c>
      <c r="J55" s="60">
        <f t="shared" si="34"/>
        <v>46.526636138904607</v>
      </c>
      <c r="K55" s="78">
        <f t="shared" si="29"/>
        <v>-31.439971614073986</v>
      </c>
      <c r="L55" s="86">
        <f>[1]!srE2Rng(G$5,H55)</f>
        <v>25.547169422962543</v>
      </c>
      <c r="M55" s="78">
        <f t="shared" si="23"/>
        <v>-16.927169422962542</v>
      </c>
      <c r="N55" s="61">
        <f>[1]!srE2LETe(G$6,H55,0)</f>
        <v>19.087155397697444</v>
      </c>
      <c r="O55" s="29">
        <f>[1]!srE2LETn(G$6,H55,0)</f>
        <v>1.7937402302550989E-2</v>
      </c>
      <c r="P55" s="52"/>
      <c r="Q55" s="149">
        <f t="shared" si="25"/>
        <v>36.884927999999988</v>
      </c>
      <c r="R55" s="67">
        <f>[1]!srLETt2E(Q$6,Q55,0,1)</f>
        <v>9.336735606867034</v>
      </c>
      <c r="S55" s="62">
        <f>[1]!srE2Rng(Q$6,R55)</f>
        <v>160332.44554317265</v>
      </c>
      <c r="T55" s="60">
        <f t="shared" si="35"/>
        <v>163.10733771783683</v>
      </c>
      <c r="U55" s="78">
        <f t="shared" si="30"/>
        <v>-135.65021866691447</v>
      </c>
      <c r="V55" s="86">
        <f>[1]!srE2Rng(Q$5,R55)</f>
        <v>84.648723174214695</v>
      </c>
      <c r="W55" s="78">
        <f t="shared" si="16"/>
        <v>-69.388723174214689</v>
      </c>
      <c r="X55" s="61">
        <f>[1]!srE2LETe(Q$6,R55,0)</f>
        <v>36.862284287830946</v>
      </c>
      <c r="Y55" s="29">
        <f>[1]!srE2LETn(Q$6,R55,0)</f>
        <v>2.264371216903947E-2</v>
      </c>
      <c r="Z55" s="52"/>
      <c r="AA55" s="149">
        <f t="shared" si="26"/>
        <v>59.223227999999992</v>
      </c>
      <c r="AB55" s="67">
        <f>[1]!srLETt2E(AA$6,AA55,0,1)</f>
        <v>13.733942600501416</v>
      </c>
      <c r="AC55" s="62">
        <f>[1]!srE2Rng(AA$6,AB55)</f>
        <v>224867.05269637122</v>
      </c>
      <c r="AD55" s="60">
        <f t="shared" si="36"/>
        <v>228.75885277933656</v>
      </c>
      <c r="AE55" s="78">
        <f t="shared" si="31"/>
        <v>-165.7366769659005</v>
      </c>
      <c r="AF55" s="86">
        <f>[1]!srE2Rng(AA$5,AB55)</f>
        <v>118.55315132169783</v>
      </c>
      <c r="AG55" s="78">
        <f t="shared" si="19"/>
        <v>-84.683151321697835</v>
      </c>
      <c r="AH55" s="61">
        <f>[1]!srE2LETe(AA$6,AB55,0)</f>
        <v>59.188725714497124</v>
      </c>
      <c r="AI55" s="29">
        <f>[1]!srE2LETn(AA$6,AB55,0)</f>
        <v>3.4502285502864029E-2</v>
      </c>
      <c r="AJ55" s="52"/>
      <c r="AK55" s="149">
        <f t="shared" si="27"/>
        <v>80.621787999999981</v>
      </c>
      <c r="AL55" s="67">
        <f>[1]!srLETt2E(AK$6,AK55,0,1)</f>
        <v>18.872607772636382</v>
      </c>
      <c r="AM55" s="62">
        <f>[1]!srE2Rng(AK$6,AL55)</f>
        <v>340217.46443410707</v>
      </c>
      <c r="AN55" s="60" t="e">
        <f t="shared" si="37"/>
        <v>#N/A</v>
      </c>
      <c r="AO55" s="78" t="e">
        <f t="shared" si="32"/>
        <v>#N/A</v>
      </c>
      <c r="AP55" s="86">
        <f>[1]!srE2Rng(AK$5,AL55)</f>
        <v>178.71998097814847</v>
      </c>
      <c r="AQ55" s="78">
        <f t="shared" si="22"/>
        <v>-129.14998097814848</v>
      </c>
      <c r="AR55" s="61">
        <f>[1]!srE2LETe(AK$6,AL55,0)</f>
        <v>80.568595613102701</v>
      </c>
      <c r="AS55" s="29">
        <f>[1]!srE2LETn(AK$6,AL55,0)</f>
        <v>5.3192386897284727E-2</v>
      </c>
      <c r="AT55" s="52"/>
    </row>
    <row r="56" spans="2:46">
      <c r="B56" s="7"/>
      <c r="C56" s="7"/>
      <c r="D56" s="7"/>
      <c r="E56" s="7"/>
      <c r="F56" s="61">
        <f t="shared" si="33"/>
        <v>0.73999999999999977</v>
      </c>
      <c r="G56" s="149">
        <f t="shared" si="24"/>
        <v>18.602327199999994</v>
      </c>
      <c r="H56" s="67">
        <f>[1]!srLETt2E(G$6,G56,0,1)</f>
        <v>2.9684360253213149</v>
      </c>
      <c r="I56" s="62">
        <f>[1]!srE2Rng(G$6,H56)</f>
        <v>49943.211486667991</v>
      </c>
      <c r="J56" s="60">
        <f t="shared" si="34"/>
        <v>50.807584422928329</v>
      </c>
      <c r="K56" s="78">
        <f t="shared" si="29"/>
        <v>-35.720919898097705</v>
      </c>
      <c r="L56" s="86">
        <f>[1]!srE2Rng(G$5,H56)</f>
        <v>27.713399109917539</v>
      </c>
      <c r="M56" s="78">
        <f t="shared" si="23"/>
        <v>-19.093399109917542</v>
      </c>
      <c r="N56" s="61">
        <f>[1]!srE2LETe(G$6,H56,0)</f>
        <v>18.585653067331666</v>
      </c>
      <c r="O56" s="29">
        <f>[1]!srE2LETn(G$6,H56,0)</f>
        <v>1.6674132668329164E-2</v>
      </c>
      <c r="P56" s="52"/>
      <c r="Q56" s="149">
        <f t="shared" si="25"/>
        <v>35.91427199999999</v>
      </c>
      <c r="R56" s="67">
        <f>[1]!srLETt2E(Q$6,Q56,0,1)</f>
        <v>9.9667211014271491</v>
      </c>
      <c r="S56" s="62">
        <f>[1]!srE2Rng(Q$6,R56)</f>
        <v>172471.2244826282</v>
      </c>
      <c r="T56" s="60">
        <f t="shared" si="35"/>
        <v>175.45620390803541</v>
      </c>
      <c r="U56" s="78">
        <f t="shared" si="30"/>
        <v>-147.99908485711305</v>
      </c>
      <c r="V56" s="86">
        <f>[1]!srE2Rng(Q$5,R56)</f>
        <v>91.001516932921447</v>
      </c>
      <c r="W56" s="78">
        <f t="shared" si="16"/>
        <v>-75.741516932921442</v>
      </c>
      <c r="X56" s="61">
        <f>[1]!srE2LETe(Q$6,R56,0)</f>
        <v>35.892876780138174</v>
      </c>
      <c r="Y56" s="29">
        <f>[1]!srE2LETn(Q$6,R56,0)</f>
        <v>2.1395219861814616E-2</v>
      </c>
      <c r="Z56" s="52"/>
      <c r="AA56" s="149">
        <f t="shared" si="26"/>
        <v>57.66472199999999</v>
      </c>
      <c r="AB56" s="67">
        <f>[1]!srLETt2E(AA$6,AA56,0,1)</f>
        <v>14.52819659629456</v>
      </c>
      <c r="AC56" s="62">
        <f>[1]!srE2Rng(AA$6,AB56)</f>
        <v>239901.32773194046</v>
      </c>
      <c r="AD56" s="60">
        <f t="shared" si="36"/>
        <v>244.05332775139789</v>
      </c>
      <c r="AE56" s="78">
        <f t="shared" si="31"/>
        <v>-181.03115193796182</v>
      </c>
      <c r="AF56" s="86">
        <f>[1]!srE2Rng(AA$5,AB56)</f>
        <v>126.31142435260526</v>
      </c>
      <c r="AG56" s="78">
        <f t="shared" si="19"/>
        <v>-92.441424352605253</v>
      </c>
      <c r="AH56" s="61">
        <f>[1]!srE2LETe(AA$6,AB56,0)</f>
        <v>57.631829031943404</v>
      </c>
      <c r="AI56" s="29">
        <f>[1]!srE2LETn(AA$6,AB56,0)</f>
        <v>3.2892968056587965E-2</v>
      </c>
      <c r="AJ56" s="52"/>
      <c r="AK56" s="149">
        <f t="shared" si="27"/>
        <v>78.500161999999975</v>
      </c>
      <c r="AL56" s="67">
        <f>[1]!srLETt2E(AK$6,AK56,0,1)</f>
        <v>20.197201934608564</v>
      </c>
      <c r="AM56" s="62">
        <f>[1]!srE2Rng(AK$6,AL56)</f>
        <v>367436.73645617568</v>
      </c>
      <c r="AN56" s="60" t="e">
        <f t="shared" si="37"/>
        <v>#N/A</v>
      </c>
      <c r="AO56" s="78" t="e">
        <f t="shared" si="32"/>
        <v>#N/A</v>
      </c>
      <c r="AP56" s="86">
        <f>[1]!srE2Rng(AK$5,AL56)</f>
        <v>192.49067749675859</v>
      </c>
      <c r="AQ56" s="78">
        <f t="shared" si="22"/>
        <v>-142.9206774967586</v>
      </c>
      <c r="AR56" s="61">
        <f>[1]!srE2LETe(AK$6,AL56,0)</f>
        <v>78.450055799812191</v>
      </c>
      <c r="AS56" s="29">
        <f>[1]!srE2LETn(AK$6,AL56,0)</f>
        <v>5.0106200187787796E-2</v>
      </c>
      <c r="AT56" s="52"/>
    </row>
    <row r="57" spans="2:46">
      <c r="B57" s="7"/>
      <c r="C57" s="7"/>
      <c r="D57" s="7"/>
      <c r="E57" s="7"/>
      <c r="F57" s="61">
        <f t="shared" si="33"/>
        <v>0.71999999999999975</v>
      </c>
      <c r="G57" s="149">
        <f t="shared" si="24"/>
        <v>18.099561599999994</v>
      </c>
      <c r="H57" s="67">
        <f>[1]!srLETt2E(G$6,G57,0,1)</f>
        <v>3.2318717496975262</v>
      </c>
      <c r="I57" s="62">
        <f>[1]!srE2Rng(G$6,H57)</f>
        <v>54710.790974507079</v>
      </c>
      <c r="J57" s="60">
        <f t="shared" si="34"/>
        <v>55.657676960250789</v>
      </c>
      <c r="K57" s="78">
        <f t="shared" si="29"/>
        <v>-40.571012435420172</v>
      </c>
      <c r="L57" s="86">
        <f>[1]!srE2Rng(G$5,H57)</f>
        <v>30.151769837193044</v>
      </c>
      <c r="M57" s="78">
        <f t="shared" si="23"/>
        <v>-21.531769837193046</v>
      </c>
      <c r="N57" s="61">
        <f>[1]!srE2LETe(G$6,H57,0)</f>
        <v>18.084081110568651</v>
      </c>
      <c r="O57" s="29">
        <f>[1]!srE2LETn(G$6,H57,0)</f>
        <v>1.5480489431342984E-2</v>
      </c>
      <c r="P57" s="52"/>
      <c r="Q57" s="149">
        <f t="shared" si="25"/>
        <v>34.943615999999992</v>
      </c>
      <c r="R57" s="67">
        <f>[1]!srLETt2E(Q$6,Q57,0,1)</f>
        <v>10.600871687887867</v>
      </c>
      <c r="S57" s="62">
        <f>[1]!srE2Rng(Q$6,R57)</f>
        <v>184872.16603098484</v>
      </c>
      <c r="T57" s="60">
        <f t="shared" si="35"/>
        <v>188.07176998572189</v>
      </c>
      <c r="U57" s="78">
        <f t="shared" si="30"/>
        <v>-160.61465093479953</v>
      </c>
      <c r="V57" s="86">
        <f>[1]!srE2Rng(Q$5,R57)</f>
        <v>97.489638413118357</v>
      </c>
      <c r="W57" s="78">
        <f t="shared" si="16"/>
        <v>-82.229638413118352</v>
      </c>
      <c r="X57" s="61">
        <f>[1]!srE2LETe(Q$6,R57,0)</f>
        <v>34.923387363557026</v>
      </c>
      <c r="Y57" s="29">
        <f>[1]!srE2LETn(Q$6,R57,0)</f>
        <v>2.0228636442961478E-2</v>
      </c>
      <c r="Z57" s="52"/>
      <c r="AA57" s="149">
        <f t="shared" si="26"/>
        <v>56.106215999999989</v>
      </c>
      <c r="AB57" s="67">
        <f>[1]!srLETt2E(AA$6,AA57,0,1)</f>
        <v>15.3398439602047</v>
      </c>
      <c r="AC57" s="62">
        <f>[1]!srE2Rng(AA$6,AB57)</f>
        <v>255471.66858477792</v>
      </c>
      <c r="AD57" s="60">
        <f t="shared" si="36"/>
        <v>259.89314629381352</v>
      </c>
      <c r="AE57" s="78">
        <f t="shared" si="31"/>
        <v>-196.87097048037745</v>
      </c>
      <c r="AF57" s="86">
        <f>[1]!srE2Rng(AA$5,AB57)</f>
        <v>134.3330671576083</v>
      </c>
      <c r="AG57" s="78">
        <f t="shared" si="19"/>
        <v>-100.46306715760829</v>
      </c>
      <c r="AH57" s="61">
        <f>[1]!srE2LETe(AA$6,AB57,0)</f>
        <v>56.074895250970165</v>
      </c>
      <c r="AI57" s="29">
        <f>[1]!srE2LETn(AA$6,AB57,0)</f>
        <v>3.1320749029827066E-2</v>
      </c>
      <c r="AJ57" s="52"/>
      <c r="AK57" s="149">
        <f t="shared" si="27"/>
        <v>76.378535999999968</v>
      </c>
      <c r="AL57" s="67">
        <f>[1]!srLETt2E(AK$6,AK57,0,1)</f>
        <v>21.678420502944903</v>
      </c>
      <c r="AM57" s="62">
        <f>[1]!srE2Rng(AK$6,AL57)</f>
        <v>399026.22499375901</v>
      </c>
      <c r="AN57" s="60" t="e">
        <f t="shared" si="37"/>
        <v>#N/A</v>
      </c>
      <c r="AO57" s="78" t="e">
        <f t="shared" si="32"/>
        <v>#N/A</v>
      </c>
      <c r="AP57" s="86">
        <f>[1]!srE2Rng(AK$5,AL57)</f>
        <v>208.414491497684</v>
      </c>
      <c r="AQ57" s="78">
        <f t="shared" si="22"/>
        <v>-158.844491497684</v>
      </c>
      <c r="AR57" s="61">
        <f>[1]!srE2LETe(AK$6,AL57,0)</f>
        <v>76.331328358622955</v>
      </c>
      <c r="AS57" s="29">
        <f>[1]!srE2LETn(AK$6,AL57,0)</f>
        <v>4.7207641377014574E-2</v>
      </c>
      <c r="AT57" s="52"/>
    </row>
    <row r="58" spans="2:46" s="108" customFormat="1">
      <c r="B58" s="7"/>
      <c r="C58" s="7"/>
      <c r="D58" s="7"/>
      <c r="E58" s="7"/>
      <c r="F58" s="141">
        <f t="shared" si="33"/>
        <v>0.69999999999999973</v>
      </c>
      <c r="G58" s="150">
        <f t="shared" si="24"/>
        <v>17.596795999999991</v>
      </c>
      <c r="H58" s="116">
        <f>[1]!srLETt2E(G$6,G58,0,1)</f>
        <v>3.5168212242911094</v>
      </c>
      <c r="I58" s="111">
        <f>[1]!srE2Rng(G$6,H58)</f>
        <v>60010.948959474365</v>
      </c>
      <c r="J58" s="112">
        <f t="shared" si="34"/>
        <v>61.049565392334657</v>
      </c>
      <c r="K58" s="113">
        <f t="shared" si="29"/>
        <v>-45.962900867504032</v>
      </c>
      <c r="L58" s="114">
        <f>[1]!srE2Rng(G$5,H58)</f>
        <v>32.854175149081229</v>
      </c>
      <c r="M58" s="113">
        <f t="shared" si="23"/>
        <v>-24.234175149081231</v>
      </c>
      <c r="N58" s="109">
        <f>[1]!srE2LETe(G$6,H58,0)</f>
        <v>17.58241319216258</v>
      </c>
      <c r="O58" s="117">
        <f>[1]!srE2LETn(G$6,H58,0)</f>
        <v>1.4382807837410227E-2</v>
      </c>
      <c r="P58" s="115"/>
      <c r="Q58" s="150">
        <f t="shared" si="25"/>
        <v>33.972959999999986</v>
      </c>
      <c r="R58" s="116">
        <f>[1]!srLETt2E(Q$6,Q58,0,1)</f>
        <v>11.252880963598038</v>
      </c>
      <c r="S58" s="111">
        <f>[1]!srE2Rng(Q$6,R58)</f>
        <v>198178.81443094186</v>
      </c>
      <c r="T58" s="112">
        <f t="shared" si="35"/>
        <v>201.60871808821855</v>
      </c>
      <c r="U58" s="113">
        <f t="shared" si="30"/>
        <v>-174.15159903729619</v>
      </c>
      <c r="V58" s="114">
        <f>[1]!srE2Rng(Q$5,R58)</f>
        <v>104.44550032070033</v>
      </c>
      <c r="W58" s="113">
        <f t="shared" si="16"/>
        <v>-89.185500320700328</v>
      </c>
      <c r="X58" s="109">
        <f>[1]!srE2LETe(Q$6,R58,0)</f>
        <v>33.953740783416663</v>
      </c>
      <c r="Y58" s="117">
        <f>[1]!srE2LETn(Q$6,R58,0)</f>
        <v>1.9219216583322436E-2</v>
      </c>
      <c r="Z58" s="115"/>
      <c r="AA58" s="150">
        <f t="shared" si="26"/>
        <v>54.547709999999981</v>
      </c>
      <c r="AB58" s="116">
        <f>[1]!srLETt2E(AA$6,AA58,0,1)</f>
        <v>16.21491649240523</v>
      </c>
      <c r="AC58" s="111">
        <f>[1]!srE2Rng(AA$6,AB58)</f>
        <v>272996.78119005921</v>
      </c>
      <c r="AD58" s="112">
        <f t="shared" si="36"/>
        <v>277.72156804942779</v>
      </c>
      <c r="AE58" s="113">
        <f t="shared" si="31"/>
        <v>-214.69939223599172</v>
      </c>
      <c r="AF58" s="114">
        <f>[1]!srE2Rng(AA$5,AB58)</f>
        <v>143.31509165132485</v>
      </c>
      <c r="AG58" s="113">
        <f t="shared" si="19"/>
        <v>-109.44509165132484</v>
      </c>
      <c r="AH58" s="109">
        <f>[1]!srE2LETe(AA$6,AB58,0)</f>
        <v>54.517826190073826</v>
      </c>
      <c r="AI58" s="117">
        <f>[1]!srE2LETn(AA$6,AB58,0)</f>
        <v>2.9883809926151222E-2</v>
      </c>
      <c r="AJ58" s="115"/>
      <c r="AK58" s="150">
        <f t="shared" si="27"/>
        <v>74.256909999999976</v>
      </c>
      <c r="AL58" s="116">
        <f>[1]!srLETt2E(AK$6,AK58,0,1)</f>
        <v>23.231620619529743</v>
      </c>
      <c r="AM58" s="111">
        <f>[1]!srE2Rng(AK$6,AL58)</f>
        <v>432612.82348665246</v>
      </c>
      <c r="AN58" s="112" t="e">
        <f t="shared" si="37"/>
        <v>#N/A</v>
      </c>
      <c r="AO58" s="113" t="e">
        <f t="shared" si="32"/>
        <v>#N/A</v>
      </c>
      <c r="AP58" s="114">
        <f>[1]!srE2Rng(AK$5,AL58)</f>
        <v>225.33706344814519</v>
      </c>
      <c r="AQ58" s="113">
        <f t="shared" si="22"/>
        <v>-175.76706344814519</v>
      </c>
      <c r="AR58" s="109">
        <f>[1]!srE2LETe(AK$6,AL58,0)</f>
        <v>74.212561501511118</v>
      </c>
      <c r="AS58" s="117">
        <f>[1]!srE2LETn(AK$6,AL58,0)</f>
        <v>4.4348498488862069E-2</v>
      </c>
      <c r="AT58" s="115"/>
    </row>
    <row r="59" spans="2:46">
      <c r="B59" s="7"/>
      <c r="C59" s="7"/>
      <c r="D59" s="7"/>
      <c r="E59" s="7"/>
      <c r="F59" s="61">
        <f t="shared" si="33"/>
        <v>0.67999999999999972</v>
      </c>
      <c r="G59" s="149">
        <f t="shared" si="24"/>
        <v>17.094030399999991</v>
      </c>
      <c r="H59" s="67">
        <f>[1]!srLETt2E(G$6,G59,0,1)</f>
        <v>3.8285026920551606</v>
      </c>
      <c r="I59" s="62">
        <f>[1]!srE2Rng(G$6,H59)</f>
        <v>65992.372548916726</v>
      </c>
      <c r="J59" s="60">
        <f t="shared" si="34"/>
        <v>67.134510171486724</v>
      </c>
      <c r="K59" s="78">
        <f t="shared" si="29"/>
        <v>-52.0478456466561</v>
      </c>
      <c r="L59" s="86">
        <f>[1]!srE2Rng(G$5,H59)</f>
        <v>35.911886812869398</v>
      </c>
      <c r="M59" s="78">
        <f t="shared" si="23"/>
        <v>-27.2918868128694</v>
      </c>
      <c r="N59" s="61">
        <f>[1]!srE2LETe(G$6,H59,0)</f>
        <v>17.080675908076156</v>
      </c>
      <c r="O59" s="29">
        <f>[1]!srE2LETn(G$6,H59,0)</f>
        <v>1.3354491923834519E-2</v>
      </c>
      <c r="P59" s="52"/>
      <c r="Q59" s="149">
        <f t="shared" si="25"/>
        <v>33.002303999999988</v>
      </c>
      <c r="R59" s="67">
        <f>[1]!srLETt2E(Q$6,Q59,0,1)</f>
        <v>11.908996842528417</v>
      </c>
      <c r="S59" s="62">
        <f>[1]!srE2Rng(Q$6,R59)</f>
        <v>211691.85071823033</v>
      </c>
      <c r="T59" s="60">
        <f t="shared" si="35"/>
        <v>215.3556260570779</v>
      </c>
      <c r="U59" s="78">
        <f t="shared" si="30"/>
        <v>-187.89850700615554</v>
      </c>
      <c r="V59" s="86">
        <f>[1]!srE2Rng(Q$5,R59)</f>
        <v>111.5078107534088</v>
      </c>
      <c r="W59" s="78">
        <f t="shared" si="16"/>
        <v>-96.2478107534088</v>
      </c>
      <c r="X59" s="61">
        <f>[1]!srE2LETe(Q$6,R59,0)</f>
        <v>32.984059229301138</v>
      </c>
      <c r="Y59" s="29">
        <f>[1]!srE2LETn(Q$6,R59,0)</f>
        <v>1.8244770698845909E-2</v>
      </c>
      <c r="Z59" s="52"/>
      <c r="AA59" s="149">
        <f t="shared" si="26"/>
        <v>52.98920399999998</v>
      </c>
      <c r="AB59" s="67">
        <f>[1]!srLETt2E(AA$6,AA59,0,1)</f>
        <v>17.095990518840765</v>
      </c>
      <c r="AC59" s="62">
        <f>[1]!srE2Rng(AA$6,AB59)</f>
        <v>290704.25733634341</v>
      </c>
      <c r="AD59" s="60">
        <f t="shared" si="36"/>
        <v>295.73550953293619</v>
      </c>
      <c r="AE59" s="78">
        <f t="shared" si="31"/>
        <v>-232.71333371950013</v>
      </c>
      <c r="AF59" s="86">
        <f>[1]!srE2Rng(AA$5,AB59)</f>
        <v>152.38620088611398</v>
      </c>
      <c r="AG59" s="78">
        <f t="shared" si="19"/>
        <v>-118.51620088611398</v>
      </c>
      <c r="AH59" s="61">
        <f>[1]!srE2LETe(AA$6,AB59,0)</f>
        <v>52.96075150797467</v>
      </c>
      <c r="AI59" s="29">
        <f>[1]!srE2LETn(AA$6,AB59,0)</f>
        <v>2.8452492025311756E-2</v>
      </c>
      <c r="AJ59" s="52"/>
      <c r="AK59" s="149">
        <f t="shared" si="27"/>
        <v>72.13528399999997</v>
      </c>
      <c r="AL59" s="67">
        <f>[1]!srLETt2E(AK$6,AK59,0,1)</f>
        <v>24.994834501517495</v>
      </c>
      <c r="AM59" s="62">
        <f>[1]!srE2Rng(AK$6,AL59)</f>
        <v>472016.5630928725</v>
      </c>
      <c r="AN59" s="60" t="e">
        <f t="shared" si="37"/>
        <v>#N/A</v>
      </c>
      <c r="AO59" s="78" t="e">
        <f t="shared" si="32"/>
        <v>#N/A</v>
      </c>
      <c r="AP59" s="86">
        <f>[1]!srE2Rng(AK$5,AL59)</f>
        <v>245.17787450515584</v>
      </c>
      <c r="AQ59" s="78">
        <f t="shared" si="22"/>
        <v>-195.60787450515585</v>
      </c>
      <c r="AR59" s="61">
        <f>[1]!srE2LETe(AK$6,AL59,0)</f>
        <v>72.093707379526421</v>
      </c>
      <c r="AS59" s="29">
        <f>[1]!srE2LETn(AK$6,AL59,0)</f>
        <v>4.1576620473544407E-2</v>
      </c>
      <c r="AT59" s="52"/>
    </row>
    <row r="60" spans="2:46">
      <c r="B60" s="7"/>
      <c r="C60" s="7"/>
      <c r="D60" s="7"/>
      <c r="E60" s="7"/>
      <c r="F60" s="61">
        <f t="shared" si="33"/>
        <v>0.6599999999999997</v>
      </c>
      <c r="G60" s="149">
        <f t="shared" si="24"/>
        <v>16.59126479999999</v>
      </c>
      <c r="H60" s="67">
        <f>[1]!srLETt2E(G$6,G60,0,1)</f>
        <v>4.1674535573670566</v>
      </c>
      <c r="I60" s="62">
        <f>[1]!srE2Rng(G$6,H60)</f>
        <v>72675.674862751766</v>
      </c>
      <c r="J60" s="60">
        <f t="shared" si="34"/>
        <v>73.933481171274536</v>
      </c>
      <c r="K60" s="78">
        <f t="shared" si="29"/>
        <v>-58.846816646443912</v>
      </c>
      <c r="L60" s="86">
        <f>[1]!srE2Rng(G$5,H60)</f>
        <v>39.328026285143977</v>
      </c>
      <c r="M60" s="78">
        <f t="shared" si="23"/>
        <v>-30.70802628514398</v>
      </c>
      <c r="N60" s="61">
        <f>[1]!srE2LETe(G$6,H60,0)</f>
        <v>16.578866877391441</v>
      </c>
      <c r="O60" s="29">
        <f>[1]!srE2LETn(G$6,H60,0)</f>
        <v>1.239792260855097E-2</v>
      </c>
      <c r="P60" s="52"/>
      <c r="Q60" s="149">
        <f t="shared" si="25"/>
        <v>32.03164799999999</v>
      </c>
      <c r="R60" s="67">
        <f>[1]!srLETt2E(Q$6,Q60,0,1)</f>
        <v>12.600330134267336</v>
      </c>
      <c r="S60" s="62">
        <f>[1]!srE2Rng(Q$6,R60)</f>
        <v>226686.0402160974</v>
      </c>
      <c r="T60" s="60">
        <f t="shared" si="35"/>
        <v>230.60932172640082</v>
      </c>
      <c r="U60" s="78">
        <f t="shared" si="30"/>
        <v>-203.15220267547846</v>
      </c>
      <c r="V60" s="86">
        <f>[1]!srE2Rng(Q$5,R60)</f>
        <v>119.31268708382453</v>
      </c>
      <c r="W60" s="78">
        <f t="shared" si="16"/>
        <v>-104.05268708382452</v>
      </c>
      <c r="X60" s="61">
        <f>[1]!srE2LETe(Q$6,R60,0)</f>
        <v>32.014256887649779</v>
      </c>
      <c r="Y60" s="29">
        <f>[1]!srE2LETn(Q$6,R60,0)</f>
        <v>1.7391112350206694E-2</v>
      </c>
      <c r="Z60" s="52"/>
      <c r="AA60" s="149">
        <f t="shared" si="26"/>
        <v>51.430697999999978</v>
      </c>
      <c r="AB60" s="67">
        <f>[1]!srLETt2E(AA$6,AA60,0,1)</f>
        <v>18.08898837221513</v>
      </c>
      <c r="AC60" s="62">
        <f>[1]!srE2Rng(AA$6,AB60)</f>
        <v>311812.69074492127</v>
      </c>
      <c r="AD60" s="60">
        <f t="shared" si="36"/>
        <v>317.20926903933815</v>
      </c>
      <c r="AE60" s="78">
        <f t="shared" si="31"/>
        <v>-254.18709322590209</v>
      </c>
      <c r="AF60" s="86">
        <f>[1]!srE2Rng(AA$5,AB60)</f>
        <v>163.11868056504068</v>
      </c>
      <c r="AG60" s="78">
        <f t="shared" si="19"/>
        <v>-129.24868056504067</v>
      </c>
      <c r="AH60" s="61">
        <f>[1]!srE2LETe(AA$6,AB60,0)</f>
        <v>51.403571994227121</v>
      </c>
      <c r="AI60" s="29">
        <f>[1]!srE2LETn(AA$6,AB60,0)</f>
        <v>2.7126005772860139E-2</v>
      </c>
      <c r="AJ60" s="52"/>
      <c r="AK60" s="149">
        <f t="shared" si="27"/>
        <v>70.013657999999964</v>
      </c>
      <c r="AL60" s="67">
        <f>[1]!srLETt2E(AK$6,AK60,0,1)</f>
        <v>27.009006109330546</v>
      </c>
      <c r="AM60" s="62">
        <f>[1]!srE2Rng(AK$6,AL60)</f>
        <v>518484.94053342711</v>
      </c>
      <c r="AN60" s="60" t="e">
        <f t="shared" si="37"/>
        <v>#N/A</v>
      </c>
      <c r="AO60" s="78" t="e">
        <f t="shared" si="32"/>
        <v>#N/A</v>
      </c>
      <c r="AP60" s="86">
        <f>[1]!srE2Rng(AK$5,AL60)</f>
        <v>268.67663543529636</v>
      </c>
      <c r="AQ60" s="78">
        <f t="shared" si="22"/>
        <v>-219.10663543529637</v>
      </c>
      <c r="AR60" s="61">
        <f>[1]!srE2LETe(AK$6,AL60,0)</f>
        <v>69.974805109743315</v>
      </c>
      <c r="AS60" s="29">
        <f>[1]!srE2LETn(AK$6,AL60,0)</f>
        <v>3.8852890256648426E-2</v>
      </c>
      <c r="AT60" s="52"/>
    </row>
    <row r="61" spans="2:46">
      <c r="B61" s="7"/>
      <c r="C61" s="7"/>
      <c r="D61" s="7"/>
      <c r="E61" s="7"/>
      <c r="F61" s="61">
        <f t="shared" si="33"/>
        <v>0.63999999999999968</v>
      </c>
      <c r="G61" s="149">
        <f t="shared" si="24"/>
        <v>16.08849919999999</v>
      </c>
      <c r="H61" s="67">
        <f>[1]!srLETt2E(G$6,G61,0,1)</f>
        <v>4.5420667797093719</v>
      </c>
      <c r="I61" s="62">
        <f>[1]!srE2Rng(G$6,H61)</f>
        <v>80292.561038302621</v>
      </c>
      <c r="J61" s="60">
        <f t="shared" si="34"/>
        <v>81.682193676625587</v>
      </c>
      <c r="K61" s="78">
        <f t="shared" si="29"/>
        <v>-66.595529151794963</v>
      </c>
      <c r="L61" s="86">
        <f>[1]!srE2Rng(G$5,H61)</f>
        <v>43.223479885267032</v>
      </c>
      <c r="M61" s="78">
        <f t="shared" si="23"/>
        <v>-34.603479885267035</v>
      </c>
      <c r="N61" s="61">
        <f>[1]!srE2LETe(G$6,H61,0)</f>
        <v>16.076995857566189</v>
      </c>
      <c r="O61" s="29">
        <f>[1]!srE2LETn(G$6,H61,0)</f>
        <v>1.1503342433798693E-2</v>
      </c>
      <c r="P61" s="52"/>
      <c r="Q61" s="149">
        <f t="shared" si="25"/>
        <v>31.060991999999985</v>
      </c>
      <c r="R61" s="67">
        <f>[1]!srLETt2E(Q$6,Q61,0,1)</f>
        <v>13.304192143046571</v>
      </c>
      <c r="S61" s="62">
        <f>[1]!srE2Rng(Q$6,R61)</f>
        <v>242192.42687032645</v>
      </c>
      <c r="T61" s="60">
        <f t="shared" si="35"/>
        <v>246.38407920749754</v>
      </c>
      <c r="U61" s="78">
        <f t="shared" si="30"/>
        <v>-218.92696015657518</v>
      </c>
      <c r="V61" s="86">
        <f>[1]!srE2Rng(Q$5,R61)</f>
        <v>127.37134131424041</v>
      </c>
      <c r="W61" s="78">
        <f t="shared" si="16"/>
        <v>-112.11134131424041</v>
      </c>
      <c r="X61" s="61">
        <f>[1]!srE2LETe(Q$6,R61,0)</f>
        <v>31.044431401750185</v>
      </c>
      <c r="Y61" s="29">
        <f>[1]!srE2LETn(Q$6,R61,0)</f>
        <v>1.6560598249801099E-2</v>
      </c>
      <c r="Z61" s="52"/>
      <c r="AA61" s="149">
        <f t="shared" si="26"/>
        <v>49.872191999999977</v>
      </c>
      <c r="AB61" s="67">
        <f>[1]!srLETt2E(AA$6,AA61,0,1)</f>
        <v>19.102913806870074</v>
      </c>
      <c r="AC61" s="62">
        <f>[1]!srE2Rng(AA$6,AB61)</f>
        <v>333563.70275066589</v>
      </c>
      <c r="AD61" s="60">
        <f t="shared" si="36"/>
        <v>339.33672832499104</v>
      </c>
      <c r="AE61" s="78">
        <f t="shared" si="31"/>
        <v>-276.31455251155495</v>
      </c>
      <c r="AF61" s="86">
        <f>[1]!srE2Rng(AA$5,AB61)</f>
        <v>174.1662775355891</v>
      </c>
      <c r="AG61" s="78">
        <f t="shared" si="19"/>
        <v>-140.2962775355891</v>
      </c>
      <c r="AH61" s="61">
        <f>[1]!srE2LETe(AA$6,AB61,0)</f>
        <v>49.846383310829033</v>
      </c>
      <c r="AI61" s="29">
        <f>[1]!srE2LETn(AA$6,AB61,0)</f>
        <v>2.5808689170942461E-2</v>
      </c>
      <c r="AJ61" s="52"/>
      <c r="AK61" s="149">
        <f t="shared" si="27"/>
        <v>67.892031999999972</v>
      </c>
      <c r="AL61" s="67">
        <f>[1]!srLETt2E(AK$6,AK61,0,1)</f>
        <v>29.26582881558512</v>
      </c>
      <c r="AM61" s="62">
        <f>[1]!srE2Rng(AK$6,AL61)</f>
        <v>572052.69604357344</v>
      </c>
      <c r="AN61" s="60" t="e">
        <f t="shared" si="37"/>
        <v>#N/A</v>
      </c>
      <c r="AO61" s="78" t="e">
        <f t="shared" si="32"/>
        <v>#N/A</v>
      </c>
      <c r="AP61" s="86">
        <f>[1]!srE2Rng(AK$5,AL61)</f>
        <v>295.93367309869132</v>
      </c>
      <c r="AQ61" s="78">
        <f t="shared" si="22"/>
        <v>-246.36367309869132</v>
      </c>
      <c r="AR61" s="61">
        <f>[1]!srE2LETe(AK$6,AL61,0)</f>
        <v>67.855842754983783</v>
      </c>
      <c r="AS61" s="29">
        <f>[1]!srE2LETn(AK$6,AL61,0)</f>
        <v>3.6189245016179906E-2</v>
      </c>
      <c r="AT61" s="52"/>
    </row>
    <row r="62" spans="2:46">
      <c r="B62" s="7"/>
      <c r="C62" s="7"/>
      <c r="D62" s="7"/>
      <c r="E62" s="7"/>
      <c r="F62" s="61">
        <f t="shared" si="33"/>
        <v>0.61999999999999966</v>
      </c>
      <c r="G62" s="149">
        <f t="shared" si="24"/>
        <v>15.58573359999999</v>
      </c>
      <c r="H62" s="67">
        <f>[1]!srLETt2E(G$6,G62,0,1)</f>
        <v>4.9404357954455493</v>
      </c>
      <c r="I62" s="62">
        <f>[1]!srE2Rng(G$6,H62)</f>
        <v>88650.342988447621</v>
      </c>
      <c r="J62" s="60">
        <f t="shared" si="34"/>
        <v>90.184624725413329</v>
      </c>
      <c r="K62" s="78">
        <f t="shared" si="29"/>
        <v>-75.097960200582705</v>
      </c>
      <c r="L62" s="86">
        <f>[1]!srE2Rng(G$5,H62)</f>
        <v>47.517897874903021</v>
      </c>
      <c r="M62" s="78">
        <f t="shared" si="23"/>
        <v>-38.897897874903023</v>
      </c>
      <c r="N62" s="61">
        <f>[1]!srE2LETe(G$6,H62,0)</f>
        <v>15.575050897738608</v>
      </c>
      <c r="O62" s="29">
        <f>[1]!srE2LETn(G$6,H62,0)</f>
        <v>1.0682702261382168E-2</v>
      </c>
      <c r="P62" s="52"/>
      <c r="Q62" s="149">
        <f t="shared" si="25"/>
        <v>30.090335999999986</v>
      </c>
      <c r="R62" s="67">
        <f>[1]!srLETt2E(Q$6,Q62,0,1)</f>
        <v>14.039621169072253</v>
      </c>
      <c r="S62" s="62">
        <f>[1]!srE2Rng(Q$6,R62)</f>
        <v>258989.33165314264</v>
      </c>
      <c r="T62" s="60">
        <f t="shared" si="35"/>
        <v>263.47168996365878</v>
      </c>
      <c r="U62" s="78">
        <f t="shared" si="30"/>
        <v>-236.01457091273642</v>
      </c>
      <c r="V62" s="86">
        <f>[1]!srE2Rng(Q$5,R62)</f>
        <v>136.06940749085135</v>
      </c>
      <c r="W62" s="78">
        <f t="shared" si="16"/>
        <v>-120.80940749085134</v>
      </c>
      <c r="X62" s="61">
        <f>[1]!srE2LETe(Q$6,R62,0)</f>
        <v>30.074547602227511</v>
      </c>
      <c r="Y62" s="29">
        <f>[1]!srE2LETn(Q$6,R62,0)</f>
        <v>1.5788397772474136E-2</v>
      </c>
      <c r="Z62" s="52"/>
      <c r="AA62" s="149">
        <f t="shared" si="26"/>
        <v>48.313685999999976</v>
      </c>
      <c r="AB62" s="67">
        <f>[1]!srLETt2E(AA$6,AA62,0,1)</f>
        <v>20.241649160093679</v>
      </c>
      <c r="AC62" s="62">
        <f>[1]!srE2Rng(AA$6,AB62)</f>
        <v>359146.98669032869</v>
      </c>
      <c r="AD62" s="60">
        <f t="shared" si="36"/>
        <v>365.36278511805779</v>
      </c>
      <c r="AE62" s="78">
        <f t="shared" si="31"/>
        <v>-302.34060930462169</v>
      </c>
      <c r="AF62" s="86">
        <f>[1]!srE2Rng(AA$5,AB62)</f>
        <v>187.09320126538347</v>
      </c>
      <c r="AG62" s="78">
        <f t="shared" si="19"/>
        <v>-153.22320126538347</v>
      </c>
      <c r="AH62" s="61">
        <f>[1]!srE2LETe(AA$6,AB62,0)</f>
        <v>48.28913994058869</v>
      </c>
      <c r="AI62" s="29">
        <f>[1]!srE2LETn(AA$6,AB62,0)</f>
        <v>2.4546059411288127E-2</v>
      </c>
      <c r="AJ62" s="52"/>
      <c r="AK62" s="149">
        <f t="shared" si="27"/>
        <v>65.770405999999966</v>
      </c>
      <c r="AL62" s="67">
        <f>[1]!srLETt2E(AK$6,AK62,0,1)</f>
        <v>31.600492113197589</v>
      </c>
      <c r="AM62" s="62">
        <f>[1]!srE2Rng(AK$6,AL62)</f>
        <v>629215.55776801449</v>
      </c>
      <c r="AN62" s="60" t="e">
        <f t="shared" si="37"/>
        <v>#N/A</v>
      </c>
      <c r="AO62" s="78" t="e">
        <f t="shared" si="32"/>
        <v>#N/A</v>
      </c>
      <c r="AP62" s="86">
        <f>[1]!srE2Rng(AK$5,AL62)</f>
        <v>325.17825399808714</v>
      </c>
      <c r="AQ62" s="78">
        <f t="shared" si="22"/>
        <v>-275.60825399808715</v>
      </c>
      <c r="AR62" s="61">
        <f>[1]!srE2LETe(AK$6,AL62,0)</f>
        <v>65.73659841346435</v>
      </c>
      <c r="AS62" s="29">
        <f>[1]!srE2LETn(AK$6,AL62,0)</f>
        <v>3.3807586535612361E-2</v>
      </c>
      <c r="AT62" s="52"/>
    </row>
    <row r="63" spans="2:46" s="108" customFormat="1">
      <c r="B63" s="7"/>
      <c r="C63" s="7"/>
      <c r="D63" s="7"/>
      <c r="E63" s="7"/>
      <c r="F63" s="141">
        <f t="shared" si="33"/>
        <v>0.59999999999999964</v>
      </c>
      <c r="G63" s="150">
        <f t="shared" si="24"/>
        <v>15.08296799999999</v>
      </c>
      <c r="H63" s="116">
        <f>[1]!srLETt2E(G$6,G63,0,1)</f>
        <v>5.381213286583618</v>
      </c>
      <c r="I63" s="111">
        <f>[1]!srE2Rng(G$6,H63)</f>
        <v>98256.195241912908</v>
      </c>
      <c r="J63" s="112">
        <f t="shared" si="34"/>
        <v>99.956726574578468</v>
      </c>
      <c r="K63" s="113">
        <f t="shared" si="29"/>
        <v>-84.870062049747844</v>
      </c>
      <c r="L63" s="114">
        <f>[1]!srE2Rng(G$5,H63)</f>
        <v>52.460085872663207</v>
      </c>
      <c r="M63" s="113">
        <f t="shared" si="23"/>
        <v>-43.840085872663209</v>
      </c>
      <c r="N63" s="109">
        <f>[1]!srE2LETe(G$6,H63,0)</f>
        <v>15.073041119026348</v>
      </c>
      <c r="O63" s="117">
        <f>[1]!srE2LETn(G$6,H63,0)</f>
        <v>9.9268809736419265E-3</v>
      </c>
      <c r="P63" s="115"/>
      <c r="Q63" s="150">
        <f t="shared" si="25"/>
        <v>29.119679999999985</v>
      </c>
      <c r="R63" s="116">
        <f>[1]!srLETt2E(Q$6,Q63,0,1)</f>
        <v>14.81558145014516</v>
      </c>
      <c r="S63" s="111">
        <f>[1]!srE2Rng(Q$6,R63)</f>
        <v>277335.07787410612</v>
      </c>
      <c r="T63" s="112">
        <f t="shared" si="35"/>
        <v>282.13494813583372</v>
      </c>
      <c r="U63" s="113">
        <f t="shared" si="30"/>
        <v>-254.67782908491137</v>
      </c>
      <c r="V63" s="114">
        <f>[1]!srE2Rng(Q$5,R63)</f>
        <v>145.53615239893608</v>
      </c>
      <c r="W63" s="113">
        <f t="shared" si="16"/>
        <v>-130.27615239893609</v>
      </c>
      <c r="X63" s="109">
        <f>[1]!srE2LETe(Q$6,R63,0)</f>
        <v>29.104621793723197</v>
      </c>
      <c r="Y63" s="117">
        <f>[1]!srE2LETn(Q$6,R63,0)</f>
        <v>1.5058206276790749E-2</v>
      </c>
      <c r="Z63" s="115"/>
      <c r="AA63" s="150">
        <f t="shared" si="26"/>
        <v>46.755179999999974</v>
      </c>
      <c r="AB63" s="116">
        <f>[1]!srLETt2E(AA$6,AA63,0,1)</f>
        <v>21.468708557319861</v>
      </c>
      <c r="AC63" s="111">
        <f>[1]!srE2Rng(AA$6,AB63)</f>
        <v>387452.64579235372</v>
      </c>
      <c r="AD63" s="112">
        <f t="shared" si="36"/>
        <v>394.15833353521691</v>
      </c>
      <c r="AE63" s="113">
        <f t="shared" si="31"/>
        <v>-331.13615772178082</v>
      </c>
      <c r="AF63" s="114">
        <f>[1]!srE2Rng(AA$5,AB63)</f>
        <v>201.37167678569057</v>
      </c>
      <c r="AG63" s="113">
        <f t="shared" si="19"/>
        <v>-167.50167678569056</v>
      </c>
      <c r="AH63" s="109">
        <f>[1]!srE2LETe(AA$6,AB63,0)</f>
        <v>46.731883796269301</v>
      </c>
      <c r="AI63" s="117">
        <f>[1]!srE2LETn(AA$6,AB63,0)</f>
        <v>2.329620373067115E-2</v>
      </c>
      <c r="AJ63" s="115"/>
      <c r="AK63" s="150">
        <f t="shared" si="27"/>
        <v>63.64877999999996</v>
      </c>
      <c r="AL63" s="116">
        <f>[1]!srLETt2E(AK$6,AK63,0,1)</f>
        <v>33.953032396309624</v>
      </c>
      <c r="AM63" s="111">
        <f>[1]!srE2Rng(AK$6,AL63)</f>
        <v>688689.68199920387</v>
      </c>
      <c r="AN63" s="112" t="e">
        <f t="shared" si="37"/>
        <v>#N/A</v>
      </c>
      <c r="AO63" s="113" t="e">
        <f t="shared" si="32"/>
        <v>#N/A</v>
      </c>
      <c r="AP63" s="114">
        <f>[1]!srE2Rng(AK$5,AL63)</f>
        <v>355.65117438945651</v>
      </c>
      <c r="AQ63" s="113">
        <f t="shared" si="22"/>
        <v>-306.08117438945652</v>
      </c>
      <c r="AR63" s="109">
        <f>[1]!srE2LETe(AK$6,AL63,0)</f>
        <v>63.617061414161739</v>
      </c>
      <c r="AS63" s="117">
        <f>[1]!srE2LETn(AK$6,AL63,0)</f>
        <v>3.1718585838217801E-2</v>
      </c>
      <c r="AT63" s="115"/>
    </row>
    <row r="64" spans="2:46">
      <c r="B64" s="7"/>
      <c r="C64" s="7"/>
      <c r="D64" s="7"/>
      <c r="E64" s="7"/>
      <c r="F64" s="61">
        <f>F63-0.05</f>
        <v>0.5499999999999996</v>
      </c>
      <c r="G64" s="149">
        <f t="shared" si="24"/>
        <v>13.826053999999989</v>
      </c>
      <c r="H64" s="67">
        <f>[1]!srLETt2E(G$6,G64,0,1)</f>
        <v>6.6125184314907326</v>
      </c>
      <c r="I64" s="62">
        <f>[1]!srE2Rng(G$6,H64)</f>
        <v>126613.04147106603</v>
      </c>
      <c r="J64" s="60">
        <f t="shared" si="34"/>
        <v>128.8043480203938</v>
      </c>
      <c r="K64" s="78">
        <f t="shared" si="29"/>
        <v>-113.71768349556318</v>
      </c>
      <c r="L64" s="86">
        <f>[1]!srE2Rng(G$5,H64)</f>
        <v>67.126829140292784</v>
      </c>
      <c r="M64" s="78">
        <f t="shared" si="23"/>
        <v>-58.506829140292787</v>
      </c>
      <c r="N64" s="61">
        <f>[1]!srE2LETe(G$6,H64,0)</f>
        <v>13.817782600672748</v>
      </c>
      <c r="O64" s="29">
        <f>[1]!srE2LETn(G$6,H64,0)</f>
        <v>8.2713993272399942E-3</v>
      </c>
      <c r="P64" s="52"/>
      <c r="Q64" s="149">
        <f t="shared" si="25"/>
        <v>26.693039999999982</v>
      </c>
      <c r="R64" s="67">
        <f>[1]!srLETt2E(Q$6,Q64,0,1)</f>
        <v>16.949960603507474</v>
      </c>
      <c r="S64" s="62">
        <f>[1]!srE2Rng(Q$6,R64)</f>
        <v>330733.57789973827</v>
      </c>
      <c r="T64" s="60">
        <f t="shared" si="35"/>
        <v>336.4576221760139</v>
      </c>
      <c r="U64" s="78">
        <f t="shared" si="30"/>
        <v>-309.00050312509154</v>
      </c>
      <c r="V64" s="86">
        <f>[1]!srE2Rng(Q$5,R64)</f>
        <v>172.91936885648775</v>
      </c>
      <c r="W64" s="78">
        <f t="shared" si="16"/>
        <v>-157.65936885648776</v>
      </c>
      <c r="X64" s="61">
        <f>[1]!srE2LETe(Q$6,R64,0)</f>
        <v>26.679680373525542</v>
      </c>
      <c r="Y64" s="29">
        <f>[1]!srE2LETn(Q$6,R64,0)</f>
        <v>1.3359626474442977E-2</v>
      </c>
      <c r="Z64" s="52"/>
      <c r="AA64" s="149">
        <f t="shared" si="26"/>
        <v>42.858914999999975</v>
      </c>
      <c r="AB64" s="67">
        <f>[1]!srLETt2E(AA$6,AA64,0,1)</f>
        <v>25.218938884624379</v>
      </c>
      <c r="AC64" s="62">
        <f>[1]!srE2Rng(AA$6,AB64)</f>
        <v>479431.79888485314</v>
      </c>
      <c r="AD64" s="60">
        <f t="shared" si="36"/>
        <v>487.72938046607163</v>
      </c>
      <c r="AE64" s="78">
        <f t="shared" si="31"/>
        <v>-424.70720465263554</v>
      </c>
      <c r="AF64" s="86">
        <f>[1]!srE2Rng(AA$5,AB64)</f>
        <v>247.69690938191997</v>
      </c>
      <c r="AG64" s="78">
        <f t="shared" si="19"/>
        <v>-213.82690938191996</v>
      </c>
      <c r="AH64" s="61">
        <f>[1]!srE2LETe(AA$6,AB64,0)</f>
        <v>42.838728435647688</v>
      </c>
      <c r="AI64" s="29">
        <f>[1]!srE2LETn(AA$6,AB64,0)</f>
        <v>2.0186564352283009E-2</v>
      </c>
      <c r="AJ64" s="52"/>
      <c r="AK64" s="149">
        <f t="shared" si="27"/>
        <v>58.344714999999958</v>
      </c>
      <c r="AL64" s="67">
        <f>[1]!srLETt2E(AK$6,AK64,0,1)</f>
        <v>40.627454826726002</v>
      </c>
      <c r="AM64" s="62">
        <f>[1]!srE2Rng(AK$6,AL64)</f>
        <v>867715.30820352514</v>
      </c>
      <c r="AN64" s="60" t="e">
        <f t="shared" si="37"/>
        <v>#N/A</v>
      </c>
      <c r="AO64" s="78" t="e">
        <f t="shared" si="32"/>
        <v>#N/A</v>
      </c>
      <c r="AP64" s="86">
        <f>[1]!srE2Rng(AK$5,AL64)</f>
        <v>447.19995943071234</v>
      </c>
      <c r="AQ64" s="78">
        <f t="shared" si="22"/>
        <v>-397.62995943071235</v>
      </c>
      <c r="AR64" s="61">
        <f>[1]!srE2LETe(AK$6,AL64,0)</f>
        <v>58.317694671050276</v>
      </c>
      <c r="AS64" s="29">
        <f>[1]!srE2LETn(AK$6,AL64,0)</f>
        <v>2.7020328949681739E-2</v>
      </c>
      <c r="AT64" s="52"/>
    </row>
    <row r="65" spans="2:46" s="108" customFormat="1">
      <c r="B65" s="7"/>
      <c r="C65" s="7"/>
      <c r="D65" s="7"/>
      <c r="E65" s="7"/>
      <c r="F65" s="141">
        <f t="shared" ref="F65:F73" si="38">F64-0.05</f>
        <v>0.49999999999999961</v>
      </c>
      <c r="G65" s="150">
        <f t="shared" si="24"/>
        <v>12.56913999999999</v>
      </c>
      <c r="H65" s="140">
        <f>[1]!srLETt2E(G$6,G65,0,1)</f>
        <v>8.0610216844105462</v>
      </c>
      <c r="I65" s="111">
        <f>[1]!srE2Rng(G$6,H65)</f>
        <v>163086.56379467421</v>
      </c>
      <c r="J65" s="111">
        <f t="shared" si="34"/>
        <v>165.90912181238284</v>
      </c>
      <c r="K65" s="118">
        <f t="shared" si="29"/>
        <v>-150.82245728755223</v>
      </c>
      <c r="L65" s="118">
        <f>[1]!srE2Rng(G$5,H65)</f>
        <v>86.150918561032853</v>
      </c>
      <c r="M65" s="118">
        <f t="shared" si="23"/>
        <v>-77.530918561032848</v>
      </c>
      <c r="N65" s="109">
        <f>[1]!srE2LETe(G$6,H65,0)</f>
        <v>12.562206305520993</v>
      </c>
      <c r="O65" s="117">
        <f>[1]!srE2LETn(G$6,H65,0)</f>
        <v>6.9336944789962791E-3</v>
      </c>
      <c r="P65" s="115"/>
      <c r="Q65" s="150">
        <f t="shared" si="25"/>
        <v>24.266399999999983</v>
      </c>
      <c r="R65" s="140">
        <f>[1]!srLETt2E(Q$6,Q65,0,1)</f>
        <v>19.506420652687062</v>
      </c>
      <c r="S65" s="111">
        <f>[1]!srE2Rng(Q$6,R65)</f>
        <v>400929.82331308024</v>
      </c>
      <c r="T65" s="112">
        <f t="shared" si="35"/>
        <v>407.86876212569496</v>
      </c>
      <c r="U65" s="118">
        <f t="shared" si="30"/>
        <v>-380.4116430747726</v>
      </c>
      <c r="V65" s="118">
        <f>[1]!srE2Rng(Q$5,R65)</f>
        <v>208.57199032619152</v>
      </c>
      <c r="W65" s="118">
        <f t="shared" si="16"/>
        <v>-193.31199032619153</v>
      </c>
      <c r="X65" s="109">
        <f>[1]!srE2LETe(Q$6,R65,0)</f>
        <v>24.254606651742868</v>
      </c>
      <c r="Y65" s="117">
        <f>[1]!srE2LETn(Q$6,R65,0)</f>
        <v>1.1793348257115435E-2</v>
      </c>
      <c r="Z65" s="115"/>
      <c r="AA65" s="150">
        <f t="shared" si="26"/>
        <v>38.962649999999975</v>
      </c>
      <c r="AB65" s="140">
        <f>[1]!srLETt2E(AA$6,AA65,0,1)</f>
        <v>30.628169160950982</v>
      </c>
      <c r="AC65" s="111">
        <f>[1]!srE2Rng(AA$6,AB65)</f>
        <v>624937.44020207296</v>
      </c>
      <c r="AD65" s="112">
        <f t="shared" si="36"/>
        <v>635.75330474275597</v>
      </c>
      <c r="AE65" s="118">
        <f t="shared" si="31"/>
        <v>-572.73112892931988</v>
      </c>
      <c r="AF65" s="118">
        <f>[1]!srE2Rng(AA$5,AB65)</f>
        <v>321.67260387304657</v>
      </c>
      <c r="AG65" s="118">
        <f t="shared" si="19"/>
        <v>-287.80260387304656</v>
      </c>
      <c r="AH65" s="109">
        <f>[1]!srE2LETe(AA$6,AB65,0)</f>
        <v>38.945665922319407</v>
      </c>
      <c r="AI65" s="117">
        <f>[1]!srE2LETn(AA$6,AB65,0)</f>
        <v>1.6984077680565198E-2</v>
      </c>
      <c r="AJ65" s="115"/>
      <c r="AK65" s="150">
        <f t="shared" si="27"/>
        <v>53.040649999999957</v>
      </c>
      <c r="AL65" s="140">
        <f>[1]!srLETt2E(AK$6,AK65,0,1)</f>
        <v>48.914848189899345</v>
      </c>
      <c r="AM65" s="111">
        <f>[1]!srE2Rng(AK$6,AL65)</f>
        <v>1111796.0149456274</v>
      </c>
      <c r="AN65" s="112" t="e">
        <f t="shared" si="37"/>
        <v>#N/A</v>
      </c>
      <c r="AO65" s="118" t="e">
        <f t="shared" si="32"/>
        <v>#N/A</v>
      </c>
      <c r="AP65" s="118">
        <f>[1]!srE2Rng(AK$5,AL65)</f>
        <v>572.09721614341504</v>
      </c>
      <c r="AQ65" s="118">
        <f t="shared" si="22"/>
        <v>-522.52721614341499</v>
      </c>
      <c r="AR65" s="109">
        <f>[1]!srE2LETe(AK$6,AL65,0)</f>
        <v>53.017686970703586</v>
      </c>
      <c r="AS65" s="117">
        <f>[1]!srE2LETn(AK$6,AL65,0)</f>
        <v>2.2963029296365827E-2</v>
      </c>
      <c r="AT65" s="115"/>
    </row>
    <row r="66" spans="2:46">
      <c r="B66" s="7"/>
      <c r="C66" s="7"/>
      <c r="D66" s="7"/>
      <c r="E66" s="7"/>
      <c r="F66" s="61">
        <f t="shared" si="38"/>
        <v>0.44999999999999962</v>
      </c>
      <c r="G66" s="149">
        <f t="shared" si="24"/>
        <v>11.31222599999999</v>
      </c>
      <c r="H66" s="68">
        <f>[1]!srLETt2E(G$6,G66,0,1)</f>
        <v>9.7970353620182014</v>
      </c>
      <c r="I66" s="62">
        <f>[1]!srE2Rng(G$6,H66)</f>
        <v>211519.92743934691</v>
      </c>
      <c r="J66" s="62">
        <f t="shared" si="34"/>
        <v>215.1807272821269</v>
      </c>
      <c r="K66" s="81">
        <f t="shared" si="29"/>
        <v>-200.09406275729629</v>
      </c>
      <c r="L66" s="81">
        <f>[1]!srE2Rng(G$5,H66)</f>
        <v>111.50870033163811</v>
      </c>
      <c r="M66" s="81">
        <f t="shared" si="23"/>
        <v>-102.88870033163811</v>
      </c>
      <c r="N66" s="61">
        <f>[1]!srE2LETe(G$6,H66,0)</f>
        <v>11.306392236723768</v>
      </c>
      <c r="O66" s="29">
        <f>[1]!srE2LETn(G$6,H66,0)</f>
        <v>5.8337632762205565E-3</v>
      </c>
      <c r="P66" s="52"/>
      <c r="Q66" s="149">
        <f t="shared" si="25"/>
        <v>21.839759999999984</v>
      </c>
      <c r="R66" s="68">
        <f>[1]!srLETt2E(Q$6,Q66,0,1)</f>
        <v>22.873793654727635</v>
      </c>
      <c r="S66" s="62">
        <f>[1]!srE2Rng(Q$6,R66)</f>
        <v>503686.20659146289</v>
      </c>
      <c r="T66" s="60">
        <f t="shared" si="35"/>
        <v>512.40356201145858</v>
      </c>
      <c r="U66" s="81">
        <f t="shared" si="30"/>
        <v>-484.94644296053622</v>
      </c>
      <c r="V66" s="81">
        <f>[1]!srE2Rng(Q$5,R66)</f>
        <v>260.3839565295026</v>
      </c>
      <c r="W66" s="81">
        <f t="shared" si="16"/>
        <v>-245.12395652950261</v>
      </c>
      <c r="X66" s="61">
        <f>[1]!srE2LETe(Q$6,R66,0)</f>
        <v>21.829509997521587</v>
      </c>
      <c r="Y66" s="29">
        <f>[1]!srE2LETn(Q$6,R66,0)</f>
        <v>1.025000247839399E-2</v>
      </c>
      <c r="Z66" s="52"/>
      <c r="AA66" s="149">
        <f t="shared" si="26"/>
        <v>35.066384999999975</v>
      </c>
      <c r="AB66" s="68">
        <f>[1]!srLETt2E(AA$6,AA66,0,1)</f>
        <v>36.363979181622348</v>
      </c>
      <c r="AC66" s="62">
        <f>[1]!srE2Rng(AA$6,AB66)</f>
        <v>795964.65140967548</v>
      </c>
      <c r="AD66" s="60">
        <f t="shared" si="36"/>
        <v>809.74050367103996</v>
      </c>
      <c r="AE66" s="81">
        <f t="shared" si="31"/>
        <v>-746.71832785760387</v>
      </c>
      <c r="AF66" s="81">
        <f>[1]!srE2Rng(AA$5,AB66)</f>
        <v>409.27144924272716</v>
      </c>
      <c r="AG66" s="81">
        <f t="shared" si="19"/>
        <v>-375.40144924272715</v>
      </c>
      <c r="AH66" s="61">
        <f>[1]!srE2LETe(AA$6,AB66,0)</f>
        <v>35.051789125800461</v>
      </c>
      <c r="AI66" s="29">
        <f>[1]!srE2LETn(AA$6,AB66,0)</f>
        <v>1.4595874199511862E-2</v>
      </c>
      <c r="AJ66" s="52"/>
      <c r="AK66" s="149">
        <f t="shared" si="27"/>
        <v>47.736584999999963</v>
      </c>
      <c r="AL66" s="68">
        <f>[1]!srLETt2E(AK$6,AK66,0,1)</f>
        <v>59.249324010625827</v>
      </c>
      <c r="AM66" s="62">
        <f>[1]!srE2Rng(AK$6,AL66)</f>
        <v>1450981.0294167919</v>
      </c>
      <c r="AN66" s="60" t="e">
        <f t="shared" si="37"/>
        <v>#N/A</v>
      </c>
      <c r="AO66" s="81" t="e">
        <f t="shared" si="32"/>
        <v>#N/A</v>
      </c>
      <c r="AP66" s="81">
        <f>[1]!srE2Rng(AK$5,AL66)</f>
        <v>743.20759782107484</v>
      </c>
      <c r="AQ66" s="81">
        <f t="shared" si="22"/>
        <v>-693.63759782107479</v>
      </c>
      <c r="AR66" s="61">
        <f>[1]!srE2LETe(AK$6,AL66,0)</f>
        <v>47.717246617581708</v>
      </c>
      <c r="AS66" s="29">
        <f>[1]!srE2LETn(AK$6,AL66,0)</f>
        <v>1.9338382418258204E-2</v>
      </c>
      <c r="AT66" s="52"/>
    </row>
    <row r="67" spans="2:46">
      <c r="B67" s="7"/>
      <c r="C67" s="7"/>
      <c r="D67" s="7"/>
      <c r="E67" s="7"/>
      <c r="F67" s="61">
        <f t="shared" si="38"/>
        <v>0.39999999999999963</v>
      </c>
      <c r="G67" s="149">
        <f t="shared" si="24"/>
        <v>10.05531199999999</v>
      </c>
      <c r="H67" s="68">
        <f>[1]!srLETt2E(G$6,G67,0,1)</f>
        <v>11.88611334153744</v>
      </c>
      <c r="I67" s="62">
        <f>[1]!srE2Rng(G$6,H67)</f>
        <v>276962.09589766472</v>
      </c>
      <c r="J67" s="62">
        <f t="shared" si="34"/>
        <v>281.75551091719723</v>
      </c>
      <c r="K67" s="81">
        <f t="shared" si="29"/>
        <v>-266.66884639236662</v>
      </c>
      <c r="L67" s="81">
        <f>[1]!srE2Rng(G$5,H67)</f>
        <v>145.71150510137318</v>
      </c>
      <c r="M67" s="81">
        <f t="shared" si="23"/>
        <v>-137.09150510137317</v>
      </c>
      <c r="N67" s="61">
        <f>[1]!srE2LETe(G$6,H67,0)</f>
        <v>10.050392107491023</v>
      </c>
      <c r="O67" s="29">
        <f>[1]!srE2LETn(G$6,H67,0)</f>
        <v>4.9198925089677624E-3</v>
      </c>
      <c r="P67" s="52"/>
      <c r="Q67" s="149">
        <f t="shared" si="25"/>
        <v>19.413119999999982</v>
      </c>
      <c r="R67" s="68">
        <f>[1]!srLETt2E(Q$6,Q67,0,1)</f>
        <v>28.118441912302487</v>
      </c>
      <c r="S67" s="62">
        <f>[1]!srE2Rng(Q$6,R67)</f>
        <v>682507.21682208171</v>
      </c>
      <c r="T67" s="60">
        <f t="shared" si="35"/>
        <v>694.31944814366693</v>
      </c>
      <c r="U67" s="81">
        <f t="shared" si="30"/>
        <v>-666.86232909274463</v>
      </c>
      <c r="V67" s="81">
        <f>[1]!srE2Rng(Q$5,R67)</f>
        <v>350.79968794633652</v>
      </c>
      <c r="W67" s="81">
        <f t="shared" si="16"/>
        <v>-335.53968794633653</v>
      </c>
      <c r="X67" s="61">
        <f>[1]!srE2LETe(Q$6,R67,0)</f>
        <v>19.404593341593046</v>
      </c>
      <c r="Y67" s="29">
        <f>[1]!srE2LETn(Q$6,R67,0)</f>
        <v>8.526658406938158E-3</v>
      </c>
      <c r="Z67" s="52"/>
      <c r="AA67" s="149">
        <f t="shared" si="26"/>
        <v>31.170119999999976</v>
      </c>
      <c r="AB67" s="68">
        <f>[1]!srLETt2E(AA$6,AA67,0,1)</f>
        <v>43.69460374886367</v>
      </c>
      <c r="AC67" s="62">
        <f>[1]!srE2Rng(AA$6,AB67)</f>
        <v>1038873.9862689333</v>
      </c>
      <c r="AD67" s="60" t="e">
        <f t="shared" si="36"/>
        <v>#N/A</v>
      </c>
      <c r="AE67" s="81" t="e">
        <f t="shared" si="31"/>
        <v>#N/A</v>
      </c>
      <c r="AF67" s="81">
        <f>[1]!srE2Rng(AA$5,AB67)</f>
        <v>533.71451268335159</v>
      </c>
      <c r="AG67" s="81">
        <f t="shared" si="19"/>
        <v>-499.84451268335158</v>
      </c>
      <c r="AH67" s="61">
        <f>[1]!srE2LETe(AA$6,AB67,0)</f>
        <v>31.157739314127983</v>
      </c>
      <c r="AI67" s="29">
        <f>[1]!srE2LETn(AA$6,AB67,0)</f>
        <v>1.238068587199099E-2</v>
      </c>
      <c r="AJ67" s="52"/>
      <c r="AK67" s="149">
        <f t="shared" si="27"/>
        <v>42.432519999999961</v>
      </c>
      <c r="AL67" s="68">
        <f>[1]!srLETt2E(AK$6,AK67,0,1)</f>
        <v>72.748796065402814</v>
      </c>
      <c r="AM67" s="62">
        <f>[1]!srE2Rng(AK$6,AL67)</f>
        <v>1942987.4367280272</v>
      </c>
      <c r="AN67" s="60" t="e">
        <f t="shared" si="37"/>
        <v>#N/A</v>
      </c>
      <c r="AO67" s="81" t="e">
        <f t="shared" si="32"/>
        <v>#N/A</v>
      </c>
      <c r="AP67" s="81">
        <f>[1]!srE2Rng(AK$5,AL67)</f>
        <v>992.80366915737523</v>
      </c>
      <c r="AQ67" s="81">
        <f t="shared" si="22"/>
        <v>-943.23366915737518</v>
      </c>
      <c r="AR67" s="61">
        <f>[1]!srE2LETe(AK$6,AL67,0)</f>
        <v>42.416428197696597</v>
      </c>
      <c r="AS67" s="29">
        <f>[1]!srE2LETn(AK$6,AL67,0)</f>
        <v>1.6091802303364489E-2</v>
      </c>
      <c r="AT67" s="52"/>
    </row>
    <row r="68" spans="2:46">
      <c r="B68" s="7"/>
      <c r="C68" s="7"/>
      <c r="D68" s="7"/>
      <c r="E68" s="7"/>
      <c r="F68" s="61">
        <f t="shared" si="38"/>
        <v>0.34999999999999964</v>
      </c>
      <c r="G68" s="149">
        <f t="shared" si="24"/>
        <v>8.7983979999999899</v>
      </c>
      <c r="H68" s="68">
        <f>[1]!srLETt2E(G$6,G68,0,1)</f>
        <v>14.453511955299909</v>
      </c>
      <c r="I68" s="62">
        <f>[1]!srE2Rng(G$6,H68)</f>
        <v>367838.93380620377</v>
      </c>
      <c r="J68" s="62">
        <f t="shared" si="34"/>
        <v>374.20516476773923</v>
      </c>
      <c r="K68" s="81">
        <f t="shared" si="29"/>
        <v>-359.11850024290862</v>
      </c>
      <c r="L68" s="81">
        <f>[1]!srE2Rng(G$5,H68)</f>
        <v>192.87064431538784</v>
      </c>
      <c r="M68" s="81">
        <f t="shared" si="23"/>
        <v>-184.25064431538783</v>
      </c>
      <c r="N68" s="61">
        <f>[1]!srE2LETe(G$6,H68,0)</f>
        <v>8.7942687874892389</v>
      </c>
      <c r="O68" s="29">
        <f>[1]!srE2LETn(G$6,H68,0)</f>
        <v>4.1292125107505037E-3</v>
      </c>
      <c r="P68" s="52"/>
      <c r="Q68" s="149">
        <f t="shared" si="25"/>
        <v>16.986479999999982</v>
      </c>
      <c r="R68" s="68">
        <f>[1]!srLETt2E(Q$6,Q68,0,1)</f>
        <v>35.015519303021179</v>
      </c>
      <c r="S68" s="62">
        <f>[1]!srE2Rng(Q$6,R68)</f>
        <v>947148.86765756551</v>
      </c>
      <c r="T68" s="60">
        <f t="shared" si="35"/>
        <v>963.5412826313476</v>
      </c>
      <c r="U68" s="81">
        <f t="shared" si="30"/>
        <v>-936.0841635804253</v>
      </c>
      <c r="V68" s="81">
        <f>[1]!srE2Rng(Q$5,R68)</f>
        <v>486.19016876078558</v>
      </c>
      <c r="W68" s="81">
        <f t="shared" si="16"/>
        <v>-470.93016876078559</v>
      </c>
      <c r="X68" s="61">
        <f>[1]!srE2LETe(Q$6,R68,0)</f>
        <v>16.979481224468582</v>
      </c>
      <c r="Y68" s="29">
        <f>[1]!srE2LETn(Q$6,R68,0)</f>
        <v>6.998775531400981E-3</v>
      </c>
      <c r="Z68" s="52"/>
      <c r="AA68" s="149">
        <f t="shared" si="26"/>
        <v>27.273854999999976</v>
      </c>
      <c r="AB68" s="68">
        <f>[1]!srLETt2E(AA$6,AA68,0,1)</f>
        <v>53.504504422995502</v>
      </c>
      <c r="AC68" s="62">
        <f>[1]!srE2Rng(AA$6,AB68)</f>
        <v>1410030.26682733</v>
      </c>
      <c r="AD68" s="60" t="e">
        <f t="shared" si="36"/>
        <v>#N/A</v>
      </c>
      <c r="AE68" s="81" t="e">
        <f t="shared" si="31"/>
        <v>#N/A</v>
      </c>
      <c r="AF68" s="81">
        <f>[1]!srE2Rng(AA$5,AB68)</f>
        <v>722.02272043079358</v>
      </c>
      <c r="AG68" s="81">
        <f t="shared" si="19"/>
        <v>-688.15272043079358</v>
      </c>
      <c r="AH68" s="61">
        <f>[1]!srE2LETe(AA$6,AB68,0)</f>
        <v>27.263528673825149</v>
      </c>
      <c r="AI68" s="29">
        <f>[1]!srE2LETn(AA$6,AB68,0)</f>
        <v>1.0326326174825727E-2</v>
      </c>
      <c r="AJ68" s="52"/>
      <c r="AK68" s="149">
        <f t="shared" si="27"/>
        <v>37.12845499999996</v>
      </c>
      <c r="AL68" s="68">
        <f>[1]!srLETt2E(AK$6,AK68,0,1)</f>
        <v>91.111556972005189</v>
      </c>
      <c r="AM68" s="62">
        <f>[1]!srE2Rng(AK$6,AL68)</f>
        <v>2698774.8791667051</v>
      </c>
      <c r="AN68" s="60" t="e">
        <f t="shared" si="37"/>
        <v>#N/A</v>
      </c>
      <c r="AO68" s="81" t="e">
        <f t="shared" si="32"/>
        <v>#N/A</v>
      </c>
      <c r="AP68" s="81">
        <f>[1]!srE2Rng(AK$5,AL68)</f>
        <v>1374.3874395833525</v>
      </c>
      <c r="AQ68" s="81">
        <f t="shared" si="22"/>
        <v>-1324.8174395833526</v>
      </c>
      <c r="AR68" s="61">
        <f>[1]!srE2LETe(AK$6,AL68,0)</f>
        <v>37.115309793939169</v>
      </c>
      <c r="AS68" s="29">
        <f>[1]!srE2LETn(AK$6,AL68,0)</f>
        <v>1.3145206060795335E-2</v>
      </c>
      <c r="AT68" s="52"/>
    </row>
    <row r="69" spans="2:46">
      <c r="B69" s="7"/>
      <c r="C69" s="7"/>
      <c r="D69" s="7"/>
      <c r="E69" s="7"/>
      <c r="F69" s="61">
        <f t="shared" si="38"/>
        <v>0.29999999999999966</v>
      </c>
      <c r="G69" s="149">
        <f t="shared" si="24"/>
        <v>7.5414839999999908</v>
      </c>
      <c r="H69" s="68">
        <f>[1]!srLETt2E(G$6,G69,0,1)</f>
        <v>17.852474868397803</v>
      </c>
      <c r="I69" s="62">
        <f>[1]!srE2Rng(G$6,H69)</f>
        <v>507278.23218946444</v>
      </c>
      <c r="J69" s="62">
        <f t="shared" si="34"/>
        <v>516.05775521183978</v>
      </c>
      <c r="K69" s="81">
        <f t="shared" si="29"/>
        <v>-500.97109068700917</v>
      </c>
      <c r="L69" s="81">
        <f>[1]!srE2Rng(G$5,H69)</f>
        <v>264.27472785156669</v>
      </c>
      <c r="M69" s="81">
        <f t="shared" si="23"/>
        <v>-255.65472785156669</v>
      </c>
      <c r="N69" s="61">
        <f>[1]!srE2LETe(G$6,H69,0)</f>
        <v>7.5380642680593555</v>
      </c>
      <c r="O69" s="29">
        <f>[1]!srE2LETn(G$6,H69,0)</f>
        <v>3.4197319406352243E-3</v>
      </c>
      <c r="P69" s="52"/>
      <c r="Q69" s="149">
        <f t="shared" si="25"/>
        <v>14.559839999999983</v>
      </c>
      <c r="R69" s="68">
        <f>[1]!srLETt2E(Q$6,Q69,0,1)</f>
        <v>43.775028405500137</v>
      </c>
      <c r="S69" s="62">
        <f>[1]!srE2Rng(Q$6,R69)</f>
        <v>1339177.3361947264</v>
      </c>
      <c r="T69" s="60">
        <f t="shared" si="35"/>
        <v>1362.3546332047301</v>
      </c>
      <c r="U69" s="81">
        <f t="shared" si="30"/>
        <v>-1334.8975141538078</v>
      </c>
      <c r="V69" s="81">
        <f>[1]!srE2Rng(Q$5,R69)</f>
        <v>685.46673947218676</v>
      </c>
      <c r="W69" s="81">
        <f t="shared" si="16"/>
        <v>-670.20673947218677</v>
      </c>
      <c r="X69" s="61">
        <f>[1]!srE2LETe(Q$6,R69,0)</f>
        <v>14.554113319026367</v>
      </c>
      <c r="Y69" s="29">
        <f>[1]!srE2LETn(Q$6,R69,0)</f>
        <v>5.7266809736149522E-3</v>
      </c>
      <c r="Z69" s="52"/>
      <c r="AA69" s="149">
        <f t="shared" si="26"/>
        <v>23.377589999999977</v>
      </c>
      <c r="AB69" s="68">
        <f>[1]!srLETt2E(AA$6,AA69,0,1)</f>
        <v>67.316969350545946</v>
      </c>
      <c r="AC69" s="62">
        <f>[1]!srE2Rng(AA$6,AB69)</f>
        <v>2011185.5844525017</v>
      </c>
      <c r="AD69" s="60" t="e">
        <f t="shared" si="36"/>
        <v>#N/A</v>
      </c>
      <c r="AE69" s="81" t="e">
        <f t="shared" si="31"/>
        <v>#N/A</v>
      </c>
      <c r="AF69" s="81">
        <f>[1]!srE2Rng(AA$5,AB69)</f>
        <v>1029.7788311002107</v>
      </c>
      <c r="AG69" s="81">
        <f t="shared" si="19"/>
        <v>-995.9088311002107</v>
      </c>
      <c r="AH69" s="61">
        <f>[1]!srE2LETe(AA$6,AB69,0)</f>
        <v>23.369187287797637</v>
      </c>
      <c r="AI69" s="29">
        <f>[1]!srE2LETn(AA$6,AB69,0)</f>
        <v>8.4027122023440683E-3</v>
      </c>
      <c r="AJ69" s="52"/>
      <c r="AK69" s="149">
        <f t="shared" si="27"/>
        <v>31.824389999999962</v>
      </c>
      <c r="AL69" s="68">
        <f>[1]!srLETt2E(AK$6,AK69,0,1)</f>
        <v>117.95044714437064</v>
      </c>
      <c r="AM69" s="62">
        <f>[1]!srE2Rng(AK$6,AL69)</f>
        <v>3984366.8550844286</v>
      </c>
      <c r="AN69" s="60" t="e">
        <f t="shared" si="37"/>
        <v>#N/A</v>
      </c>
      <c r="AO69" s="81" t="e">
        <f t="shared" si="32"/>
        <v>#N/A</v>
      </c>
      <c r="AP69" s="81">
        <f>[1]!srE2Rng(AK$5,AL69)</f>
        <v>2027.1834275422143</v>
      </c>
      <c r="AQ69" s="81">
        <f t="shared" si="22"/>
        <v>-1977.6134275422144</v>
      </c>
      <c r="AR69" s="61">
        <f>[1]!srE2LETe(AK$6,AL69,0)</f>
        <v>31.813954482396948</v>
      </c>
      <c r="AS69" s="29">
        <f>[1]!srE2LETn(AK$6,AL69,0)</f>
        <v>1.0435517603012791E-2</v>
      </c>
      <c r="AT69" s="52"/>
    </row>
    <row r="70" spans="2:46">
      <c r="B70" s="7"/>
      <c r="C70" s="7"/>
      <c r="D70" s="7"/>
      <c r="E70" s="7"/>
      <c r="F70" s="61">
        <f t="shared" si="38"/>
        <v>0.24999999999999967</v>
      </c>
      <c r="G70" s="149">
        <f t="shared" si="24"/>
        <v>6.2845699999999916</v>
      </c>
      <c r="H70" s="68">
        <f>[1]!srLETt2E(G$6,G70,0,1)</f>
        <v>22.901394164907618</v>
      </c>
      <c r="I70" s="62">
        <f>[1]!srE2Rng(G$6,H70)</f>
        <v>752321.11354805622</v>
      </c>
      <c r="J70" s="62">
        <f t="shared" si="34"/>
        <v>765.3416220530363</v>
      </c>
      <c r="K70" s="81">
        <f t="shared" si="29"/>
        <v>-750.25495752820564</v>
      </c>
      <c r="L70" s="81">
        <f>[1]!srE2Rng(G$5,H70)</f>
        <v>388.08682166536056</v>
      </c>
      <c r="M70" s="81">
        <f t="shared" si="23"/>
        <v>-379.46682166536056</v>
      </c>
      <c r="N70" s="61">
        <f>[1]!srE2LETe(G$6,H70,0)</f>
        <v>6.2818362999741488</v>
      </c>
      <c r="O70" s="29">
        <f>[1]!srE2LETn(G$6,H70,0)</f>
        <v>2.7337000258432754E-3</v>
      </c>
      <c r="P70" s="52"/>
      <c r="Q70" s="149">
        <f t="shared" si="25"/>
        <v>12.133199999999984</v>
      </c>
      <c r="R70" s="68">
        <f>[1]!srLETt2E(Q$6,Q70,0,1)</f>
        <v>56.821006340237211</v>
      </c>
      <c r="S70" s="62">
        <f>[1]!srE2Rng(Q$6,R70)</f>
        <v>2025615.8821543495</v>
      </c>
      <c r="T70" s="60">
        <f t="shared" si="35"/>
        <v>2060.6734504539113</v>
      </c>
      <c r="U70" s="81">
        <f t="shared" si="30"/>
        <v>-2033.216331402989</v>
      </c>
      <c r="V70" s="81">
        <f>[1]!srE2Rng(Q$5,R70)</f>
        <v>1039.3660833910865</v>
      </c>
      <c r="W70" s="81">
        <f t="shared" si="16"/>
        <v>-1024.1060833910865</v>
      </c>
      <c r="X70" s="61">
        <f>[1]!srE2LETe(Q$6,R70,0)</f>
        <v>12.128663841356135</v>
      </c>
      <c r="Y70" s="29">
        <f>[1]!srE2LETn(Q$6,R70,0)</f>
        <v>4.5361586438509441E-3</v>
      </c>
      <c r="Z70" s="52"/>
      <c r="AA70" s="149">
        <f t="shared" si="26"/>
        <v>19.481324999999977</v>
      </c>
      <c r="AB70" s="68">
        <f>[1]!srLETt2E(AA$6,AA70,0,1)</f>
        <v>88.176993498530024</v>
      </c>
      <c r="AC70" s="62">
        <f>[1]!srE2Rng(AA$6,AB70)</f>
        <v>3088532.5195585047</v>
      </c>
      <c r="AD70" s="60" t="e">
        <f t="shared" si="36"/>
        <v>#N/A</v>
      </c>
      <c r="AE70" s="81" t="e">
        <f t="shared" si="31"/>
        <v>#N/A</v>
      </c>
      <c r="AF70" s="81">
        <f>[1]!srE2Rng(AA$5,AB70)</f>
        <v>1574.2662597792523</v>
      </c>
      <c r="AG70" s="81">
        <f t="shared" si="19"/>
        <v>-1540.3962597792524</v>
      </c>
      <c r="AH70" s="61">
        <f>[1]!srE2LETe(AA$6,AB70,0)</f>
        <v>19.47473238692314</v>
      </c>
      <c r="AI70" s="29">
        <f>[1]!srE2LETn(AA$6,AB70,0)</f>
        <v>6.5926130768354813E-3</v>
      </c>
      <c r="AJ70" s="52"/>
      <c r="AK70" s="149">
        <f t="shared" si="27"/>
        <v>26.520324999999964</v>
      </c>
      <c r="AL70" s="68">
        <f>[1]!srLETt2E(AK$6,AK70,0,1)</f>
        <v>160.01529377798585</v>
      </c>
      <c r="AM70" s="62">
        <f>[1]!srE2Rng(AK$6,AL70)</f>
        <v>6369087.9652730692</v>
      </c>
      <c r="AN70" s="60" t="e">
        <f t="shared" si="37"/>
        <v>#N/A</v>
      </c>
      <c r="AO70" s="81" t="e">
        <f t="shared" si="32"/>
        <v>#N/A</v>
      </c>
      <c r="AP70" s="81">
        <f>[1]!srE2Rng(AK$5,AL70)</f>
        <v>3227.5900083850611</v>
      </c>
      <c r="AQ70" s="81">
        <f t="shared" si="22"/>
        <v>-3178.0200083850609</v>
      </c>
      <c r="AR70" s="61">
        <f>[1]!srE2LETe(AK$6,AL70,0)</f>
        <v>26.51240151137134</v>
      </c>
      <c r="AS70" s="29">
        <f>[1]!srE2LETn(AK$6,AL70,0)</f>
        <v>7.9234886286200512E-3</v>
      </c>
      <c r="AT70" s="52"/>
    </row>
    <row r="71" spans="2:46">
      <c r="B71" s="7"/>
      <c r="C71" s="7"/>
      <c r="D71" s="7"/>
      <c r="E71" s="7"/>
      <c r="F71" s="61">
        <f t="shared" si="38"/>
        <v>0.19999999999999968</v>
      </c>
      <c r="G71" s="149">
        <f t="shared" si="24"/>
        <v>5.0276559999999915</v>
      </c>
      <c r="H71" s="68">
        <f>[1]!srLETt2E(G$6,G71,0,1)</f>
        <v>32.596732652511236</v>
      </c>
      <c r="I71" s="62">
        <f>[1]!srE2Rng(G$6,H71)</f>
        <v>1326577.820370764</v>
      </c>
      <c r="J71" s="62">
        <f t="shared" si="34"/>
        <v>1349.5370561034883</v>
      </c>
      <c r="K71" s="81">
        <f t="shared" si="29"/>
        <v>-1334.4503915786577</v>
      </c>
      <c r="L71" s="81">
        <f>[1]!srE2Rng(G$5,H71)</f>
        <v>681.28623611152977</v>
      </c>
      <c r="M71" s="81">
        <f t="shared" si="23"/>
        <v>-672.66623611152977</v>
      </c>
      <c r="N71" s="61">
        <f>[1]!srE2LETe(G$6,H71,0)</f>
        <v>5.0256689527117997</v>
      </c>
      <c r="O71" s="29">
        <f>[1]!srE2LETn(G$6,H71,0)</f>
        <v>1.9870472881914247E-3</v>
      </c>
      <c r="P71" s="52"/>
      <c r="Q71" s="149">
        <f t="shared" si="25"/>
        <v>9.7065599999999854</v>
      </c>
      <c r="R71" s="68">
        <f>[1]!srLETt2E(Q$6,Q71,0,1)</f>
        <v>77.751937995677338</v>
      </c>
      <c r="S71" s="62">
        <f>[1]!srE2Rng(Q$6,R71)</f>
        <v>3377423.2566404687</v>
      </c>
      <c r="T71" s="60" t="e">
        <f t="shared" si="35"/>
        <v>#N/A</v>
      </c>
      <c r="U71" s="81" t="e">
        <f t="shared" si="30"/>
        <v>#N/A</v>
      </c>
      <c r="V71" s="81">
        <f>[1]!srE2Rng(Q$5,R71)</f>
        <v>1723.7116283202345</v>
      </c>
      <c r="W71" s="81">
        <f t="shared" si="16"/>
        <v>-1708.4516283202345</v>
      </c>
      <c r="X71" s="61">
        <f>[1]!srE2LETe(Q$6,R71,0)</f>
        <v>9.7031488362794729</v>
      </c>
      <c r="Y71" s="29">
        <f>[1]!srE2LETn(Q$6,R71,0)</f>
        <v>3.4111637205132181E-3</v>
      </c>
      <c r="Z71" s="52"/>
      <c r="AA71" s="149">
        <f t="shared" si="26"/>
        <v>15.585059999999975</v>
      </c>
      <c r="AB71" s="68">
        <f>[1]!srLETt2E(AA$6,AA71,0,1)</f>
        <v>122.94856827500982</v>
      </c>
      <c r="AC71" s="62">
        <f>[1]!srE2Rng(AA$6,AB71)</f>
        <v>5293773.9466426997</v>
      </c>
      <c r="AD71" s="60" t="e">
        <f t="shared" si="36"/>
        <v>#N/A</v>
      </c>
      <c r="AE71" s="81" t="e">
        <f t="shared" si="31"/>
        <v>#N/A</v>
      </c>
      <c r="AF71" s="81">
        <f>[1]!srE2Rng(AA$5,AB71)</f>
        <v>2681.8869733213496</v>
      </c>
      <c r="AG71" s="81">
        <f t="shared" si="19"/>
        <v>-2648.0169733213497</v>
      </c>
      <c r="AH71" s="61">
        <f>[1]!srE2LETe(AA$6,AB71,0)</f>
        <v>15.580181282496209</v>
      </c>
      <c r="AI71" s="29">
        <f>[1]!srE2LETn(AA$6,AB71,0)</f>
        <v>4.8787175037647594E-3</v>
      </c>
      <c r="AJ71" s="52"/>
      <c r="AK71" s="149">
        <f t="shared" si="27"/>
        <v>21.216259999999966</v>
      </c>
      <c r="AL71" s="68">
        <f>[1]!srLETt2E(AK$6,AK71,0,1)</f>
        <v>237.1559625634344</v>
      </c>
      <c r="AM71" s="62">
        <f>[1]!srE2Rng(AK$6,AL71)</f>
        <v>11757571.50224865</v>
      </c>
      <c r="AN71" s="60" t="e">
        <f t="shared" si="37"/>
        <v>#N/A</v>
      </c>
      <c r="AO71" s="81" t="e">
        <f t="shared" si="32"/>
        <v>#N/A</v>
      </c>
      <c r="AP71" s="81">
        <f>[1]!srE2Rng(AK$5,AL71)</f>
        <v>5930.5054757493226</v>
      </c>
      <c r="AQ71" s="81">
        <f t="shared" si="22"/>
        <v>-5880.9354757493229</v>
      </c>
      <c r="AR71" s="61">
        <f>[1]!srE2LETe(AK$6,AL71,0)</f>
        <v>21.210705539250814</v>
      </c>
      <c r="AS71" s="29">
        <f>[1]!srE2LETn(AK$6,AL71,0)</f>
        <v>5.5544607491503578E-3</v>
      </c>
      <c r="AT71" s="52"/>
    </row>
    <row r="72" spans="2:46">
      <c r="B72" s="7"/>
      <c r="C72" s="7"/>
      <c r="D72" s="7"/>
      <c r="E72" s="7"/>
      <c r="F72" s="61">
        <f t="shared" si="38"/>
        <v>0.14999999999999969</v>
      </c>
      <c r="G72" s="149">
        <f t="shared" si="24"/>
        <v>3.7707419999999918</v>
      </c>
      <c r="H72" s="68">
        <f>[1]!srLETt2E(G$6,G72,0,1)</f>
        <v>48.148006598396272</v>
      </c>
      <c r="I72" s="62">
        <f>[1]!srE2Rng(G$6,H72)</f>
        <v>2537024.5806588717</v>
      </c>
      <c r="J72" s="62">
        <f t="shared" si="34"/>
        <v>2580.9331584389402</v>
      </c>
      <c r="K72" s="81">
        <f t="shared" si="29"/>
        <v>-2565.8464939141095</v>
      </c>
      <c r="L72" s="81">
        <f>[1]!srE2Rng(G$5,H72)</f>
        <v>1298.5122903294359</v>
      </c>
      <c r="M72" s="81">
        <f t="shared" si="23"/>
        <v>-1289.892290329436</v>
      </c>
      <c r="N72" s="61">
        <f>[1]!srE2LETe(G$6,H72,0)</f>
        <v>3.7693419961781482</v>
      </c>
      <c r="O72" s="29">
        <f>[1]!srE2LETn(G$6,H72,0)</f>
        <v>1.4000038218433008E-3</v>
      </c>
      <c r="P72" s="52"/>
      <c r="Q72" s="149">
        <f t="shared" si="25"/>
        <v>7.2799199999999855</v>
      </c>
      <c r="R72" s="68">
        <f>[1]!srLETt2E(Q$6,Q72,0,1)</f>
        <v>117.39627157032523</v>
      </c>
      <c r="S72" s="62">
        <f>[1]!srE2Rng(Q$6,R72)</f>
        <v>6716028.3612171235</v>
      </c>
      <c r="T72" s="60" t="e">
        <f t="shared" si="35"/>
        <v>#N/A</v>
      </c>
      <c r="U72" s="81" t="e">
        <f t="shared" si="30"/>
        <v>#N/A</v>
      </c>
      <c r="V72" s="81">
        <f>[1]!srE2Rng(Q$5,R72)</f>
        <v>3403.7077465490252</v>
      </c>
      <c r="W72" s="81">
        <f t="shared" si="16"/>
        <v>-3388.4477465490249</v>
      </c>
      <c r="X72" s="61">
        <f>[1]!srE2LETe(Q$6,R72,0)</f>
        <v>7.2775696798271596</v>
      </c>
      <c r="Y72" s="29">
        <f>[1]!srE2LETn(Q$6,R72,0)</f>
        <v>2.3503201728255949E-3</v>
      </c>
      <c r="Z72" s="52"/>
      <c r="AA72" s="149">
        <f t="shared" si="26"/>
        <v>11.688794999999978</v>
      </c>
      <c r="AB72" s="68">
        <f>[1]!srLETt2E(AA$6,AA72,0,1)</f>
        <v>192.62930699110504</v>
      </c>
      <c r="AC72" s="62">
        <f>[1]!srE2Rng(AA$6,AB72)</f>
        <v>11049197.610525925</v>
      </c>
      <c r="AD72" s="60" t="e">
        <f t="shared" si="36"/>
        <v>#N/A</v>
      </c>
      <c r="AE72" s="81" t="e">
        <f t="shared" si="31"/>
        <v>#N/A</v>
      </c>
      <c r="AF72" s="81">
        <f>[1]!srE2Rng(AA$5,AB72)</f>
        <v>5575.4529423086142</v>
      </c>
      <c r="AG72" s="81">
        <f t="shared" si="19"/>
        <v>-5541.5829423086143</v>
      </c>
      <c r="AH72" s="61">
        <f>[1]!srE2LETe(AA$6,AB72,0)</f>
        <v>11.685545635882669</v>
      </c>
      <c r="AI72" s="29">
        <f>[1]!srE2LETn(AA$6,AB72,0)</f>
        <v>3.2493641173074158E-3</v>
      </c>
      <c r="AJ72" s="52"/>
      <c r="AK72" s="149">
        <f t="shared" si="27"/>
        <v>15.912194999999967</v>
      </c>
      <c r="AL72" s="68">
        <f>[1]!srLETt2E(AK$6,AK72,0,1)</f>
        <v>426.72128653644825</v>
      </c>
      <c r="AM72" s="62">
        <f>[1]!srE2Rng(AK$6,AL72)</f>
        <v>29053649.060032163</v>
      </c>
      <c r="AN72" s="60" t="e">
        <f t="shared" si="37"/>
        <v>#N/A</v>
      </c>
      <c r="AO72" s="81" t="e">
        <f t="shared" si="32"/>
        <v>#N/A</v>
      </c>
      <c r="AP72" s="81">
        <f>[1]!srE2Rng(AK$5,AL72)</f>
        <v>14574.79248329224</v>
      </c>
      <c r="AQ72" s="81">
        <f t="shared" si="22"/>
        <v>-14525.22248329224</v>
      </c>
      <c r="AR72" s="61">
        <f>[1]!srE2LETe(AK$6,AL72,0)</f>
        <v>15.908936617633255</v>
      </c>
      <c r="AS72" s="29">
        <f>[1]!srE2LETn(AK$6,AL72,0)</f>
        <v>3.2583823667102613E-3</v>
      </c>
      <c r="AT72" s="52"/>
    </row>
    <row r="73" spans="2:46">
      <c r="B73" s="7"/>
      <c r="C73" s="7"/>
      <c r="D73" s="7"/>
      <c r="E73" s="7"/>
      <c r="F73" s="61">
        <f t="shared" si="38"/>
        <v>9.9999999999999686E-2</v>
      </c>
      <c r="G73" s="149">
        <f t="shared" si="24"/>
        <v>2.5138279999999917</v>
      </c>
      <c r="H73" s="68">
        <f>[1]!srLETt2E(G$6,G73,0,1)</f>
        <v>81.343063673647862</v>
      </c>
      <c r="I73" s="62">
        <f>[1]!srE2Rng(G$6,H73)</f>
        <v>6202656.659616109</v>
      </c>
      <c r="J73" s="62">
        <f t="shared" si="34"/>
        <v>6310.0067556530521</v>
      </c>
      <c r="K73" s="81">
        <f t="shared" si="29"/>
        <v>-6294.9200911282214</v>
      </c>
      <c r="L73" s="81">
        <f>[1]!srE2Rng(G$5,H73)</f>
        <v>3156.4027807469729</v>
      </c>
      <c r="M73" s="81">
        <f t="shared" si="23"/>
        <v>-3147.782780746973</v>
      </c>
      <c r="N73" s="61">
        <f>[1]!srE2LETe(G$6,H73,0)</f>
        <v>2.5129600442736391</v>
      </c>
      <c r="O73" s="29">
        <f>[1]!srE2LETn(G$6,H73,0)</f>
        <v>8.6795572635266661E-4</v>
      </c>
      <c r="P73" s="52"/>
      <c r="Q73" s="149">
        <f t="shared" si="25"/>
        <v>4.8532799999999847</v>
      </c>
      <c r="R73" s="68">
        <f>[1]!srLETt2E(Q$6,Q73,0,1)</f>
        <v>216.89248773568295</v>
      </c>
      <c r="S73" s="62">
        <f>[1]!srE2Rng(Q$6,R73)</f>
        <v>18774290.541994382</v>
      </c>
      <c r="T73" s="60" t="e">
        <f t="shared" si="35"/>
        <v>#N/A</v>
      </c>
      <c r="U73" s="81" t="e">
        <f t="shared" si="30"/>
        <v>#N/A</v>
      </c>
      <c r="V73" s="81">
        <f>[1]!srE2Rng(Q$5,R73)</f>
        <v>9462.6926934216845</v>
      </c>
      <c r="W73" s="81">
        <f t="shared" si="16"/>
        <v>-9447.4326934216842</v>
      </c>
      <c r="X73" s="61">
        <f>[1]!srE2LETe(Q$6,R73,0)</f>
        <v>4.8519356855605968</v>
      </c>
      <c r="Y73" s="29">
        <f>[1]!srE2LETn(Q$6,R73,0)</f>
        <v>1.3443144393876646E-3</v>
      </c>
      <c r="Z73" s="52"/>
      <c r="AA73" s="149">
        <f t="shared" si="26"/>
        <v>7.7925299999999762</v>
      </c>
      <c r="AB73" s="68">
        <f>[1]!srLETt2E(AA$6,AA73,0,1)</f>
        <v>404.6325759637084</v>
      </c>
      <c r="AC73" s="62">
        <f>[1]!srE2Rng(AA$6,AB73)</f>
        <v>36432544.028733239</v>
      </c>
      <c r="AD73" s="60" t="e">
        <f t="shared" si="36"/>
        <v>#N/A</v>
      </c>
      <c r="AE73" s="81" t="e">
        <f t="shared" si="31"/>
        <v>#N/A</v>
      </c>
      <c r="AF73" s="81">
        <f>[1]!srE2Rng(AA$5,AB73)</f>
        <v>18281.272014366619</v>
      </c>
      <c r="AG73" s="81">
        <f t="shared" si="19"/>
        <v>-18247.40201436662</v>
      </c>
      <c r="AH73" s="61">
        <f>[1]!srE2LETe(AA$6,AB73,0)</f>
        <v>7.7908772981007761</v>
      </c>
      <c r="AI73" s="29">
        <f>[1]!srE2LETn(AA$6,AB73,0)</f>
        <v>1.6527018992000405E-3</v>
      </c>
      <c r="AJ73" s="52"/>
      <c r="AK73" s="149"/>
      <c r="AL73" s="68"/>
      <c r="AM73" s="62"/>
      <c r="AN73" s="60"/>
      <c r="AO73" s="81"/>
      <c r="AP73" s="78"/>
      <c r="AQ73" s="81"/>
      <c r="AR73" s="61"/>
      <c r="AS73" s="29"/>
      <c r="AT73" s="52"/>
    </row>
    <row r="74" spans="2:46">
      <c r="B74" s="7"/>
      <c r="C74" s="7"/>
      <c r="D74" s="7"/>
      <c r="E74" s="7"/>
      <c r="F74" s="61"/>
      <c r="G74" s="151"/>
      <c r="H74" s="69"/>
      <c r="I74" s="70"/>
      <c r="J74" s="51"/>
      <c r="K74" s="79"/>
      <c r="L74" s="79"/>
      <c r="M74" s="79"/>
      <c r="N74" s="71"/>
      <c r="O74" s="72"/>
      <c r="P74" s="54"/>
      <c r="Q74" s="151"/>
      <c r="R74" s="69"/>
      <c r="S74" s="70"/>
      <c r="T74" s="51"/>
      <c r="U74" s="79"/>
      <c r="V74" s="79"/>
      <c r="W74" s="79"/>
      <c r="X74" s="71"/>
      <c r="Y74" s="72"/>
      <c r="Z74" s="54"/>
      <c r="AA74" s="151"/>
      <c r="AB74" s="69"/>
      <c r="AC74" s="70"/>
      <c r="AD74" s="51"/>
      <c r="AE74" s="79"/>
      <c r="AF74" s="79"/>
      <c r="AG74" s="79"/>
      <c r="AH74" s="71"/>
      <c r="AI74" s="72"/>
      <c r="AJ74" s="54"/>
      <c r="AK74" s="151"/>
      <c r="AL74" s="69"/>
      <c r="AM74" s="70"/>
      <c r="AN74" s="51"/>
      <c r="AO74" s="79"/>
      <c r="AP74" s="79"/>
      <c r="AQ74" s="79"/>
      <c r="AR74" s="71"/>
      <c r="AS74" s="72"/>
      <c r="AT74" s="54"/>
    </row>
    <row r="75" spans="2:46">
      <c r="F75" s="61"/>
      <c r="G75" s="61"/>
      <c r="H75" s="57"/>
      <c r="I75" s="62"/>
      <c r="J75" s="60"/>
      <c r="K75" s="78"/>
      <c r="L75" s="78"/>
      <c r="M75" s="78"/>
      <c r="N75" s="61"/>
      <c r="O75" s="61"/>
      <c r="P75" s="55"/>
      <c r="Q75" s="61"/>
      <c r="R75" s="57"/>
      <c r="S75" s="62"/>
      <c r="T75" s="60"/>
      <c r="U75" s="78"/>
      <c r="V75" s="78"/>
      <c r="W75" s="78"/>
      <c r="X75" s="61"/>
      <c r="Y75" s="61"/>
      <c r="Z75" s="55"/>
      <c r="AA75" s="61"/>
      <c r="AB75" s="57"/>
      <c r="AC75" s="62"/>
      <c r="AD75" s="60"/>
      <c r="AE75" s="78"/>
      <c r="AF75" s="78"/>
      <c r="AG75" s="78"/>
      <c r="AH75" s="61"/>
      <c r="AI75" s="61"/>
      <c r="AJ75" s="55"/>
      <c r="AK75" s="61"/>
      <c r="AL75" s="57"/>
      <c r="AM75" s="62"/>
      <c r="AN75" s="60"/>
      <c r="AO75" s="78"/>
      <c r="AP75" s="78"/>
      <c r="AQ75" s="78"/>
      <c r="AR75" s="61"/>
      <c r="AS75" s="61"/>
      <c r="AT75" s="55"/>
    </row>
    <row r="76" spans="2:46" s="34" customFormat="1" ht="12">
      <c r="I76" s="36"/>
      <c r="J76" s="36"/>
      <c r="K76" s="76"/>
      <c r="L76" s="76"/>
      <c r="M76" s="76"/>
      <c r="N76" s="35"/>
      <c r="O76" s="35"/>
      <c r="P76" s="35"/>
      <c r="S76" s="36"/>
      <c r="T76" s="36"/>
      <c r="U76" s="76"/>
      <c r="V76" s="76"/>
      <c r="W76" s="76"/>
      <c r="X76" s="35"/>
      <c r="Y76" s="35"/>
      <c r="Z76" s="35"/>
      <c r="AC76" s="36"/>
      <c r="AD76" s="36"/>
      <c r="AE76" s="76"/>
      <c r="AF76" s="76"/>
      <c r="AG76" s="76"/>
      <c r="AH76" s="35"/>
      <c r="AI76" s="35"/>
      <c r="AJ76" s="35"/>
      <c r="AM76" s="36"/>
      <c r="AN76" s="36"/>
      <c r="AO76" s="76"/>
      <c r="AP76" s="76"/>
      <c r="AQ76" s="76"/>
      <c r="AR76" s="35"/>
      <c r="AS76" s="35"/>
      <c r="AT76" s="35"/>
    </row>
    <row r="77" spans="2:46" s="32" customFormat="1" ht="18.75">
      <c r="F77" s="33" t="str">
        <f>$F$2</f>
        <v>Bragg Peak 幅 in Air</v>
      </c>
      <c r="J77" s="33"/>
      <c r="K77" s="77"/>
      <c r="L77" s="77"/>
      <c r="M77" s="77"/>
      <c r="N77" s="39"/>
      <c r="O77" s="38"/>
      <c r="P77" s="38"/>
      <c r="T77" s="33"/>
      <c r="U77" s="77"/>
      <c r="V77" s="77"/>
      <c r="W77" s="77"/>
      <c r="X77" s="39"/>
      <c r="Y77" s="38"/>
      <c r="Z77" s="38"/>
      <c r="AD77" s="33"/>
      <c r="AE77" s="77"/>
      <c r="AF77" s="77"/>
      <c r="AG77" s="77"/>
      <c r="AH77" s="39"/>
      <c r="AI77" s="38"/>
      <c r="AJ77" s="38"/>
      <c r="AN77" s="33"/>
      <c r="AO77" s="77"/>
      <c r="AP77" s="77"/>
      <c r="AQ77" s="77"/>
      <c r="AR77" s="39"/>
      <c r="AS77" s="38"/>
      <c r="AT77" s="38"/>
    </row>
    <row r="78" spans="2:46">
      <c r="P78" s="7"/>
      <c r="Z78" s="7"/>
      <c r="AJ78" s="7"/>
      <c r="AT78" s="7"/>
    </row>
    <row r="79" spans="2:46">
      <c r="B79" s="45" t="s">
        <v>9</v>
      </c>
      <c r="C79" s="47" t="str">
        <f>"LETt wid. in "&amp;$C$6</f>
        <v>LETt wid. in Air</v>
      </c>
      <c r="F79" s="61"/>
      <c r="G79" s="61"/>
      <c r="H79" s="56"/>
      <c r="I79" s="62"/>
      <c r="J79" s="60"/>
      <c r="K79" s="78"/>
      <c r="L79" s="78"/>
      <c r="M79" s="78"/>
      <c r="N79" s="52"/>
      <c r="O79" s="52"/>
      <c r="P79" s="7"/>
      <c r="Q79" s="61"/>
      <c r="R79" s="56"/>
      <c r="S79" s="62"/>
      <c r="T79" s="60"/>
      <c r="U79" s="78"/>
      <c r="V79" s="78"/>
      <c r="W79" s="78"/>
      <c r="X79" s="52"/>
      <c r="Y79" s="52"/>
      <c r="Z79" s="7"/>
      <c r="AA79" s="61"/>
      <c r="AB79" s="56"/>
      <c r="AC79" s="62"/>
      <c r="AD79" s="60"/>
      <c r="AE79" s="78"/>
      <c r="AF79" s="78"/>
      <c r="AG79" s="78"/>
      <c r="AH79" s="52"/>
      <c r="AI79" s="52"/>
      <c r="AJ79" s="7"/>
      <c r="AK79" s="61"/>
      <c r="AL79" s="56"/>
      <c r="AM79" s="62"/>
      <c r="AN79" s="60"/>
      <c r="AO79" s="78"/>
      <c r="AP79" s="78"/>
      <c r="AQ79" s="78"/>
      <c r="AR79" s="52"/>
      <c r="AS79" s="52"/>
      <c r="AT79" s="7"/>
    </row>
    <row r="80" spans="2:46">
      <c r="B80" s="45" t="s">
        <v>11</v>
      </c>
      <c r="C80" s="47" t="s">
        <v>52</v>
      </c>
      <c r="F80" s="61"/>
      <c r="G80" s="61"/>
      <c r="H80" s="56"/>
      <c r="I80" s="62"/>
      <c r="J80" s="60"/>
      <c r="K80" s="78"/>
      <c r="L80" s="78"/>
      <c r="M80" s="78"/>
      <c r="N80" s="52"/>
      <c r="O80" s="52"/>
      <c r="P80" s="7"/>
      <c r="Q80" s="61"/>
      <c r="R80" s="56"/>
      <c r="S80" s="62"/>
      <c r="T80" s="60"/>
      <c r="U80" s="78"/>
      <c r="V80" s="78"/>
      <c r="W80" s="78"/>
      <c r="X80" s="52"/>
      <c r="Y80" s="52"/>
      <c r="Z80" s="7"/>
      <c r="AA80" s="61"/>
      <c r="AB80" s="56"/>
      <c r="AC80" s="62"/>
      <c r="AD80" s="60"/>
      <c r="AE80" s="78"/>
      <c r="AF80" s="78"/>
      <c r="AG80" s="78"/>
      <c r="AH80" s="52"/>
      <c r="AI80" s="52"/>
      <c r="AJ80" s="7"/>
      <c r="AK80" s="61"/>
      <c r="AL80" s="56"/>
      <c r="AM80" s="62"/>
      <c r="AN80" s="60"/>
      <c r="AO80" s="78"/>
      <c r="AP80" s="78"/>
      <c r="AQ80" s="78"/>
      <c r="AR80" s="52"/>
      <c r="AS80" s="52"/>
      <c r="AT80" s="7"/>
    </row>
    <row r="81" spans="2:46">
      <c r="B81" s="45" t="s">
        <v>12</v>
      </c>
      <c r="C81" s="47" t="str">
        <f>"LETnucl  in "&amp;$C$6</f>
        <v>LETnucl  in Air</v>
      </c>
      <c r="F81" s="61"/>
      <c r="G81" s="61"/>
      <c r="H81" s="56"/>
      <c r="I81" s="62"/>
      <c r="J81" s="60"/>
      <c r="K81" s="78"/>
      <c r="L81" s="78"/>
      <c r="M81" s="78"/>
      <c r="N81" s="52"/>
      <c r="O81" s="52"/>
      <c r="P81" s="7"/>
      <c r="Q81" s="61"/>
      <c r="R81" s="56"/>
      <c r="S81" s="62"/>
      <c r="T81" s="60"/>
      <c r="U81" s="78"/>
      <c r="V81" s="78"/>
      <c r="W81" s="78"/>
      <c r="X81" s="52"/>
      <c r="Y81" s="52"/>
      <c r="Z81" s="7"/>
      <c r="AA81" s="61"/>
      <c r="AB81" s="56"/>
      <c r="AC81" s="62"/>
      <c r="AD81" s="60"/>
      <c r="AE81" s="78"/>
      <c r="AF81" s="78"/>
      <c r="AG81" s="78"/>
      <c r="AH81" s="52"/>
      <c r="AI81" s="52"/>
      <c r="AJ81" s="7"/>
      <c r="AK81" s="61"/>
      <c r="AL81" s="56"/>
      <c r="AM81" s="62"/>
      <c r="AN81" s="60"/>
      <c r="AO81" s="78"/>
      <c r="AP81" s="78"/>
      <c r="AQ81" s="78"/>
      <c r="AR81" s="52"/>
      <c r="AS81" s="52"/>
      <c r="AT81" s="7"/>
    </row>
    <row r="82" spans="2:46">
      <c r="F82" s="61"/>
      <c r="G82" s="61"/>
      <c r="H82" s="56"/>
      <c r="I82" s="62"/>
      <c r="J82" s="60"/>
      <c r="K82" s="78"/>
      <c r="L82" s="78"/>
      <c r="M82" s="78"/>
      <c r="N82" s="52"/>
      <c r="O82" s="52"/>
      <c r="P82" s="7"/>
      <c r="Q82" s="61"/>
      <c r="R82" s="56"/>
      <c r="S82" s="62"/>
      <c r="T82" s="60"/>
      <c r="U82" s="78"/>
      <c r="V82" s="78"/>
      <c r="W82" s="78"/>
      <c r="X82" s="52"/>
      <c r="Y82" s="52"/>
      <c r="Z82" s="7"/>
      <c r="AA82" s="61"/>
      <c r="AB82" s="56"/>
      <c r="AC82" s="62"/>
      <c r="AD82" s="60"/>
      <c r="AE82" s="78"/>
      <c r="AF82" s="78"/>
      <c r="AG82" s="78"/>
      <c r="AH82" s="52"/>
      <c r="AI82" s="52"/>
      <c r="AJ82" s="7"/>
      <c r="AK82" s="61"/>
      <c r="AL82" s="56"/>
      <c r="AM82" s="62"/>
      <c r="AN82" s="60"/>
      <c r="AO82" s="78"/>
      <c r="AP82" s="78"/>
      <c r="AQ82" s="78"/>
      <c r="AR82" s="52"/>
      <c r="AS82" s="52"/>
      <c r="AT82" s="7"/>
    </row>
    <row r="83" spans="2:46">
      <c r="F83" s="61"/>
      <c r="I83" s="7"/>
      <c r="J83" s="7"/>
      <c r="K83" s="80"/>
      <c r="L83" s="80"/>
      <c r="M83" s="80"/>
      <c r="N83" s="7"/>
      <c r="O83" s="7"/>
      <c r="P83" s="7"/>
      <c r="S83" s="7"/>
      <c r="T83" s="7"/>
      <c r="U83" s="80"/>
      <c r="V83" s="80"/>
      <c r="W83" s="80"/>
      <c r="X83" s="7"/>
      <c r="Y83" s="7"/>
      <c r="Z83" s="7"/>
      <c r="AC83" s="7"/>
      <c r="AD83" s="7"/>
      <c r="AE83" s="80"/>
      <c r="AF83" s="80"/>
      <c r="AG83" s="80"/>
      <c r="AH83" s="7"/>
      <c r="AI83" s="7"/>
      <c r="AJ83" s="7"/>
      <c r="AM83" s="7"/>
      <c r="AN83" s="7"/>
      <c r="AO83" s="80"/>
      <c r="AP83" s="80"/>
      <c r="AQ83" s="80"/>
      <c r="AR83" s="7"/>
      <c r="AS83" s="7"/>
      <c r="AT83" s="7"/>
    </row>
    <row r="84" spans="2:46">
      <c r="I84" s="7"/>
      <c r="J84" s="7"/>
      <c r="K84" s="80"/>
      <c r="L84" s="80"/>
      <c r="M84" s="80"/>
      <c r="N84" s="7"/>
      <c r="O84" s="7"/>
      <c r="P84" s="7"/>
      <c r="S84" s="7"/>
      <c r="T84" s="7"/>
      <c r="U84" s="80"/>
      <c r="V84" s="80"/>
      <c r="W84" s="80"/>
      <c r="X84" s="7"/>
      <c r="Y84" s="7"/>
      <c r="Z84" s="7"/>
      <c r="AC84" s="7"/>
      <c r="AD84" s="7"/>
      <c r="AE84" s="80"/>
      <c r="AF84" s="80"/>
      <c r="AG84" s="80"/>
      <c r="AH84" s="7"/>
      <c r="AI84" s="7"/>
      <c r="AJ84" s="7"/>
      <c r="AM84" s="7"/>
      <c r="AN84" s="7"/>
      <c r="AO84" s="80"/>
      <c r="AP84" s="80"/>
      <c r="AQ84" s="80"/>
      <c r="AR84" s="7"/>
      <c r="AS84" s="7"/>
      <c r="AT84" s="7"/>
    </row>
    <row r="85" spans="2:46">
      <c r="B85" s="45" t="s">
        <v>49</v>
      </c>
      <c r="C85" s="47" t="str">
        <f>"Thick [mm] "&amp;$C$6</f>
        <v>Thick [mm] Air</v>
      </c>
      <c r="I85" s="7"/>
      <c r="J85" s="7"/>
      <c r="K85" s="80"/>
      <c r="L85" s="80"/>
      <c r="M85" s="80"/>
      <c r="N85" s="7"/>
      <c r="O85" s="7"/>
      <c r="P85" s="7"/>
      <c r="S85" s="7"/>
      <c r="T85" s="7"/>
      <c r="U85" s="80"/>
      <c r="V85" s="80"/>
      <c r="W85" s="80"/>
      <c r="X85" s="7"/>
      <c r="Y85" s="7"/>
      <c r="Z85" s="7"/>
      <c r="AC85" s="7"/>
      <c r="AD85" s="7"/>
      <c r="AE85" s="80"/>
      <c r="AF85" s="80"/>
      <c r="AG85" s="80"/>
      <c r="AH85" s="7"/>
      <c r="AI85" s="7"/>
      <c r="AJ85" s="7"/>
      <c r="AM85" s="7"/>
      <c r="AN85" s="7"/>
      <c r="AO85" s="80"/>
      <c r="AP85" s="80"/>
      <c r="AQ85" s="80"/>
      <c r="AR85" s="7"/>
      <c r="AS85" s="7"/>
      <c r="AT85" s="7"/>
    </row>
    <row r="86" spans="2:46">
      <c r="B86" s="45" t="s">
        <v>50</v>
      </c>
      <c r="C86" s="47" t="str">
        <f>$C$5&amp;" EDeg Thick [μm] "</f>
        <v xml:space="preserve">Al EDeg Thick [μm] </v>
      </c>
      <c r="I86" s="7"/>
      <c r="J86" s="7"/>
      <c r="K86" s="80"/>
      <c r="L86" s="80"/>
      <c r="M86" s="80"/>
      <c r="N86" s="7"/>
      <c r="O86" s="7"/>
      <c r="P86" s="7"/>
      <c r="S86" s="7"/>
      <c r="T86" s="7"/>
      <c r="U86" s="80"/>
      <c r="V86" s="80"/>
      <c r="W86" s="80"/>
      <c r="X86" s="7"/>
      <c r="Y86" s="7"/>
      <c r="Z86" s="7"/>
      <c r="AC86" s="7"/>
      <c r="AD86" s="7"/>
      <c r="AE86" s="80"/>
      <c r="AF86" s="80"/>
      <c r="AG86" s="80"/>
      <c r="AH86" s="7"/>
      <c r="AI86" s="7"/>
      <c r="AJ86" s="7"/>
      <c r="AM86" s="7"/>
      <c r="AN86" s="7"/>
      <c r="AO86" s="80"/>
      <c r="AP86" s="80"/>
      <c r="AQ86" s="80"/>
      <c r="AR86" s="7"/>
      <c r="AS86" s="7"/>
      <c r="AT86" s="7"/>
    </row>
    <row r="87" spans="2:46">
      <c r="B87" s="45" t="s">
        <v>51</v>
      </c>
      <c r="C87" s="47"/>
      <c r="I87" s="7"/>
      <c r="J87" s="7"/>
      <c r="K87" s="80"/>
      <c r="L87" s="80"/>
      <c r="M87" s="80"/>
      <c r="N87" s="7"/>
      <c r="O87" s="7"/>
      <c r="P87" s="7"/>
      <c r="S87" s="7"/>
      <c r="T87" s="7"/>
      <c r="U87" s="80"/>
      <c r="V87" s="80"/>
      <c r="W87" s="80"/>
      <c r="X87" s="7"/>
      <c r="Y87" s="7"/>
      <c r="Z87" s="7"/>
      <c r="AC87" s="7"/>
      <c r="AD87" s="7"/>
      <c r="AE87" s="80"/>
      <c r="AF87" s="80"/>
      <c r="AG87" s="80"/>
      <c r="AH87" s="7"/>
      <c r="AI87" s="7"/>
      <c r="AJ87" s="7"/>
      <c r="AM87" s="7"/>
      <c r="AN87" s="7"/>
      <c r="AO87" s="80"/>
      <c r="AP87" s="80"/>
      <c r="AQ87" s="80"/>
      <c r="AR87" s="7"/>
      <c r="AS87" s="7"/>
      <c r="AT87" s="7"/>
    </row>
    <row r="88" spans="2:46">
      <c r="I88" s="7"/>
      <c r="J88" s="7"/>
      <c r="K88" s="80"/>
      <c r="L88" s="80"/>
      <c r="M88" s="80"/>
      <c r="N88" s="7"/>
      <c r="O88" s="7"/>
      <c r="P88" s="7"/>
      <c r="S88" s="7"/>
      <c r="T88" s="7"/>
      <c r="U88" s="80"/>
      <c r="V88" s="80"/>
      <c r="W88" s="80"/>
      <c r="X88" s="7"/>
      <c r="Y88" s="7"/>
      <c r="Z88" s="7"/>
      <c r="AC88" s="7"/>
      <c r="AD88" s="7"/>
      <c r="AE88" s="80"/>
      <c r="AF88" s="80"/>
      <c r="AG88" s="80"/>
      <c r="AH88" s="7"/>
      <c r="AI88" s="7"/>
      <c r="AJ88" s="7"/>
      <c r="AM88" s="7"/>
      <c r="AN88" s="7"/>
      <c r="AO88" s="80"/>
      <c r="AP88" s="80"/>
      <c r="AQ88" s="80"/>
      <c r="AR88" s="7"/>
      <c r="AS88" s="7"/>
      <c r="AT88" s="7"/>
    </row>
    <row r="89" spans="2:46">
      <c r="I89" s="7"/>
      <c r="J89" s="7"/>
      <c r="K89" s="80"/>
      <c r="L89" s="80"/>
      <c r="M89" s="80"/>
      <c r="N89" s="7"/>
      <c r="O89" s="7"/>
      <c r="P89" s="7"/>
      <c r="S89" s="7"/>
      <c r="T89" s="7"/>
      <c r="U89" s="80"/>
      <c r="V89" s="80"/>
      <c r="W89" s="80"/>
      <c r="X89" s="7"/>
      <c r="Y89" s="7"/>
      <c r="Z89" s="7"/>
      <c r="AC89" s="7"/>
      <c r="AD89" s="7"/>
      <c r="AE89" s="80"/>
      <c r="AF89" s="80"/>
      <c r="AG89" s="80"/>
      <c r="AH89" s="7"/>
      <c r="AI89" s="7"/>
      <c r="AJ89" s="7"/>
      <c r="AM89" s="7"/>
      <c r="AN89" s="7"/>
      <c r="AO89" s="80"/>
      <c r="AP89" s="80"/>
      <c r="AQ89" s="80"/>
      <c r="AR89" s="7"/>
      <c r="AS89" s="7"/>
      <c r="AT89" s="7"/>
    </row>
    <row r="90" spans="2:46">
      <c r="I90" s="7"/>
      <c r="J90" s="7"/>
      <c r="K90" s="80"/>
      <c r="L90" s="80"/>
      <c r="M90" s="80"/>
      <c r="N90" s="7"/>
      <c r="O90" s="7"/>
      <c r="P90" s="7"/>
      <c r="S90" s="7"/>
      <c r="T90" s="7"/>
      <c r="U90" s="80"/>
      <c r="V90" s="80"/>
      <c r="W90" s="80"/>
      <c r="X90" s="7"/>
      <c r="Y90" s="7"/>
      <c r="Z90" s="7"/>
      <c r="AC90" s="7"/>
      <c r="AD90" s="7"/>
      <c r="AE90" s="80"/>
      <c r="AF90" s="80"/>
      <c r="AG90" s="80"/>
      <c r="AH90" s="7"/>
      <c r="AI90" s="7"/>
      <c r="AJ90" s="7"/>
      <c r="AM90" s="7"/>
      <c r="AN90" s="7"/>
      <c r="AO90" s="80"/>
      <c r="AP90" s="80"/>
      <c r="AQ90" s="80"/>
      <c r="AR90" s="7"/>
      <c r="AS90" s="7"/>
      <c r="AT90" s="7"/>
    </row>
    <row r="91" spans="2:46">
      <c r="I91" s="7"/>
      <c r="J91" s="7"/>
      <c r="K91" s="80"/>
      <c r="L91" s="80"/>
      <c r="M91" s="80"/>
      <c r="N91" s="7"/>
      <c r="O91" s="7"/>
      <c r="P91" s="7"/>
      <c r="S91" s="7"/>
      <c r="T91" s="7"/>
      <c r="U91" s="80"/>
      <c r="V91" s="80"/>
      <c r="W91" s="80"/>
      <c r="X91" s="7"/>
      <c r="Y91" s="7"/>
      <c r="Z91" s="7"/>
      <c r="AC91" s="7"/>
      <c r="AD91" s="7"/>
      <c r="AE91" s="80"/>
      <c r="AF91" s="80"/>
      <c r="AG91" s="80"/>
      <c r="AH91" s="7"/>
      <c r="AI91" s="7"/>
      <c r="AJ91" s="7"/>
      <c r="AM91" s="7"/>
      <c r="AN91" s="7"/>
      <c r="AO91" s="80"/>
      <c r="AP91" s="80"/>
      <c r="AQ91" s="80"/>
      <c r="AR91" s="7"/>
      <c r="AS91" s="7"/>
      <c r="AT91" s="7"/>
    </row>
    <row r="92" spans="2:46">
      <c r="I92" s="7"/>
      <c r="J92" s="7"/>
      <c r="K92" s="80"/>
      <c r="L92" s="80"/>
      <c r="M92" s="80"/>
      <c r="N92" s="7"/>
      <c r="O92" s="7"/>
      <c r="P92" s="7"/>
      <c r="S92" s="7"/>
      <c r="T92" s="7"/>
      <c r="U92" s="80"/>
      <c r="V92" s="80"/>
      <c r="W92" s="80"/>
      <c r="X92" s="7"/>
      <c r="Y92" s="7"/>
      <c r="Z92" s="7"/>
      <c r="AC92" s="7"/>
      <c r="AD92" s="7"/>
      <c r="AE92" s="80"/>
      <c r="AF92" s="80"/>
      <c r="AG92" s="80"/>
      <c r="AH92" s="7"/>
      <c r="AI92" s="7"/>
      <c r="AJ92" s="7"/>
      <c r="AM92" s="7"/>
      <c r="AN92" s="7"/>
      <c r="AO92" s="80"/>
      <c r="AP92" s="80"/>
      <c r="AQ92" s="80"/>
      <c r="AR92" s="7"/>
      <c r="AS92" s="7"/>
      <c r="AT92" s="7"/>
    </row>
    <row r="93" spans="2:46">
      <c r="I93" s="7"/>
      <c r="J93" s="7"/>
      <c r="K93" s="80"/>
      <c r="L93" s="80"/>
      <c r="M93" s="80"/>
      <c r="N93" s="7"/>
      <c r="O93" s="7"/>
      <c r="P93" s="7"/>
      <c r="S93" s="7"/>
      <c r="T93" s="7"/>
      <c r="U93" s="80"/>
      <c r="V93" s="80"/>
      <c r="W93" s="80"/>
      <c r="X93" s="7"/>
      <c r="Y93" s="7"/>
      <c r="Z93" s="7"/>
      <c r="AC93" s="7"/>
      <c r="AD93" s="7"/>
      <c r="AE93" s="80"/>
      <c r="AF93" s="80"/>
      <c r="AG93" s="80"/>
      <c r="AH93" s="7"/>
      <c r="AI93" s="7"/>
      <c r="AJ93" s="7"/>
      <c r="AM93" s="7"/>
      <c r="AN93" s="7"/>
      <c r="AO93" s="80"/>
      <c r="AP93" s="80"/>
      <c r="AQ93" s="80"/>
      <c r="AR93" s="7"/>
      <c r="AS93" s="7"/>
      <c r="AT93" s="7"/>
    </row>
    <row r="94" spans="2:46">
      <c r="I94" s="7"/>
      <c r="J94" s="7"/>
      <c r="K94" s="80"/>
      <c r="L94" s="80"/>
      <c r="M94" s="80"/>
      <c r="N94" s="7"/>
      <c r="O94" s="7"/>
      <c r="P94" s="7"/>
      <c r="S94" s="7"/>
      <c r="T94" s="7"/>
      <c r="U94" s="80"/>
      <c r="V94" s="80"/>
      <c r="W94" s="80"/>
      <c r="X94" s="7"/>
      <c r="Y94" s="7"/>
      <c r="Z94" s="7"/>
      <c r="AC94" s="7"/>
      <c r="AD94" s="7"/>
      <c r="AE94" s="80"/>
      <c r="AF94" s="80"/>
      <c r="AG94" s="80"/>
      <c r="AH94" s="7"/>
      <c r="AI94" s="7"/>
      <c r="AJ94" s="7"/>
      <c r="AM94" s="7"/>
      <c r="AN94" s="7"/>
      <c r="AO94" s="80"/>
      <c r="AP94" s="80"/>
      <c r="AQ94" s="80"/>
      <c r="AR94" s="7"/>
      <c r="AS94" s="7"/>
      <c r="AT94" s="7"/>
    </row>
    <row r="95" spans="2:46">
      <c r="I95" s="7"/>
      <c r="J95" s="7"/>
      <c r="K95" s="80"/>
      <c r="L95" s="80"/>
      <c r="M95" s="80"/>
      <c r="N95" s="7"/>
      <c r="O95" s="7"/>
      <c r="P95" s="7"/>
      <c r="S95" s="7"/>
      <c r="T95" s="7"/>
      <c r="U95" s="80"/>
      <c r="V95" s="80"/>
      <c r="W95" s="80"/>
      <c r="X95" s="7"/>
      <c r="Y95" s="7"/>
      <c r="Z95" s="7"/>
      <c r="AC95" s="7"/>
      <c r="AD95" s="7"/>
      <c r="AE95" s="80"/>
      <c r="AF95" s="80"/>
      <c r="AG95" s="80"/>
      <c r="AH95" s="7"/>
      <c r="AI95" s="7"/>
      <c r="AJ95" s="7"/>
      <c r="AM95" s="7"/>
      <c r="AN95" s="7"/>
      <c r="AO95" s="80"/>
      <c r="AP95" s="80"/>
      <c r="AQ95" s="80"/>
      <c r="AR95" s="7"/>
      <c r="AS95" s="7"/>
      <c r="AT95" s="7"/>
    </row>
    <row r="96" spans="2:46">
      <c r="I96" s="7"/>
      <c r="J96" s="7"/>
      <c r="K96" s="80"/>
      <c r="L96" s="80"/>
      <c r="M96" s="80"/>
      <c r="N96" s="7"/>
      <c r="O96" s="7"/>
      <c r="P96" s="7"/>
      <c r="S96" s="7"/>
      <c r="T96" s="7"/>
      <c r="U96" s="80"/>
      <c r="V96" s="80"/>
      <c r="W96" s="80"/>
      <c r="X96" s="7"/>
      <c r="Y96" s="7"/>
      <c r="Z96" s="7"/>
      <c r="AC96" s="7"/>
      <c r="AD96" s="7"/>
      <c r="AE96" s="80"/>
      <c r="AF96" s="80"/>
      <c r="AG96" s="80"/>
      <c r="AH96" s="7"/>
      <c r="AI96" s="7"/>
      <c r="AJ96" s="7"/>
      <c r="AM96" s="7"/>
      <c r="AN96" s="7"/>
      <c r="AO96" s="80"/>
      <c r="AP96" s="80"/>
      <c r="AQ96" s="80"/>
      <c r="AR96" s="7"/>
      <c r="AS96" s="7"/>
      <c r="AT96" s="7"/>
    </row>
  </sheetData>
  <phoneticPr fontId="18"/>
  <pageMargins left="0.23622047244094491" right="0.23622047244094491" top="0.74803149606299213" bottom="0.74803149606299213" header="0.31496062992125984" footer="0.31496062992125984"/>
  <pageSetup paperSize="8" scale="55" fitToHeight="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E94"/>
  <sheetViews>
    <sheetView topLeftCell="X1" zoomScale="80" zoomScaleNormal="80" workbookViewId="0">
      <selection activeCell="M22" sqref="M22"/>
    </sheetView>
  </sheetViews>
  <sheetFormatPr defaultRowHeight="13.5"/>
  <cols>
    <col min="1" max="1" width="2.125" style="24" customWidth="1"/>
    <col min="2" max="3" width="8.375" style="24" customWidth="1"/>
    <col min="4" max="4" width="6" style="24" customWidth="1"/>
    <col min="5" max="5" width="2.875" style="24" customWidth="1"/>
    <col min="6" max="6" width="4.5" style="8" customWidth="1"/>
    <col min="7" max="7" width="7.25" style="8" customWidth="1"/>
    <col min="8" max="8" width="7.375" style="8" customWidth="1"/>
    <col min="9" max="9" width="8.625" style="8" customWidth="1"/>
    <col min="10" max="10" width="7.75" style="8" customWidth="1"/>
    <col min="11" max="12" width="8.625" style="8" customWidth="1"/>
    <col min="13" max="13" width="7.5" style="8" customWidth="1"/>
    <col min="14" max="14" width="8.75" style="8" customWidth="1"/>
    <col min="15" max="15" width="8.125" style="8" customWidth="1"/>
    <col min="16" max="16" width="2.25" style="8" customWidth="1"/>
    <col min="17" max="22" width="5.25" style="8" customWidth="1"/>
    <col min="23" max="23" width="2.375" style="8" customWidth="1"/>
    <col min="24" max="24" width="2.125" style="24" customWidth="1"/>
    <col min="25" max="25" width="10.25" style="24" customWidth="1"/>
    <col min="26" max="26" width="7" style="24" customWidth="1"/>
    <col min="27" max="27" width="10.125" style="24" customWidth="1"/>
    <col min="28" max="28" width="10.5" style="24" customWidth="1"/>
    <col min="29" max="29" width="9.75" style="24" customWidth="1"/>
    <col min="30" max="32" width="9.625" style="24" customWidth="1"/>
    <col min="33" max="33" width="2.5" style="24" customWidth="1"/>
    <col min="34" max="16384" width="9" style="24"/>
  </cols>
  <sheetData>
    <row r="1" spans="2:83" s="34" customFormat="1" ht="11.25">
      <c r="Q1" s="35"/>
      <c r="R1" s="35"/>
      <c r="S1" s="35"/>
      <c r="T1" s="36"/>
      <c r="U1" s="158"/>
      <c r="V1" s="35"/>
      <c r="W1" s="35"/>
      <c r="X1" s="35"/>
      <c r="Y1" s="35"/>
      <c r="Z1" s="35"/>
      <c r="AA1" s="36"/>
      <c r="AB1" s="35"/>
      <c r="AC1" s="35"/>
      <c r="AD1" s="35"/>
      <c r="AE1" s="35"/>
      <c r="AF1" s="35"/>
      <c r="AG1" s="35"/>
      <c r="AH1" s="35"/>
      <c r="AI1" s="35"/>
      <c r="AJ1" s="35"/>
      <c r="AK1" s="36"/>
      <c r="AL1" s="35"/>
      <c r="AM1" s="35"/>
      <c r="AN1" s="35"/>
      <c r="AO1" s="35"/>
      <c r="AP1" s="35"/>
      <c r="AQ1" s="36"/>
      <c r="AR1" s="35"/>
      <c r="AS1" s="35"/>
      <c r="AT1" s="35"/>
      <c r="AU1" s="35"/>
      <c r="AV1" s="36"/>
      <c r="AW1" s="35"/>
      <c r="AX1" s="35"/>
      <c r="AY1" s="35"/>
      <c r="AZ1" s="35"/>
      <c r="BA1" s="35"/>
      <c r="BB1" s="35"/>
      <c r="BC1" s="35"/>
      <c r="BD1" s="35"/>
      <c r="BE1" s="35"/>
      <c r="BF1" s="35"/>
      <c r="BG1" s="35"/>
      <c r="BH1" s="36"/>
      <c r="BI1" s="35"/>
      <c r="BJ1" s="35"/>
      <c r="BK1" s="35"/>
      <c r="BL1" s="35"/>
      <c r="BM1" s="35"/>
      <c r="BN1" s="35"/>
      <c r="BO1" s="35"/>
      <c r="BP1" s="35"/>
      <c r="BQ1" s="35"/>
      <c r="BR1" s="35"/>
      <c r="BS1" s="35"/>
      <c r="BT1" s="35"/>
      <c r="BU1" s="35"/>
      <c r="BV1" s="35"/>
      <c r="BW1" s="35"/>
      <c r="BX1" s="35"/>
      <c r="BY1" s="35"/>
      <c r="BZ1" s="35"/>
      <c r="CA1" s="35"/>
      <c r="CB1" s="35"/>
      <c r="CC1" s="35"/>
      <c r="CD1" s="35"/>
      <c r="CE1" s="35"/>
    </row>
    <row r="2" spans="2:83" s="32" customFormat="1" ht="18.75">
      <c r="B2" s="159"/>
      <c r="C2" s="33" t="s">
        <v>60</v>
      </c>
      <c r="D2" s="160"/>
      <c r="E2" s="160"/>
      <c r="F2" s="161"/>
      <c r="G2" s="162"/>
      <c r="H2" s="162"/>
      <c r="I2" s="162"/>
      <c r="J2" s="162"/>
      <c r="K2" s="163"/>
      <c r="L2" s="163"/>
      <c r="M2" s="163"/>
      <c r="N2" s="163"/>
      <c r="O2" s="163"/>
      <c r="P2" s="163"/>
      <c r="Q2" s="164"/>
      <c r="R2" s="39"/>
      <c r="S2" s="39"/>
      <c r="T2" s="165"/>
      <c r="U2" s="166"/>
      <c r="V2" s="39"/>
      <c r="W2" s="39"/>
      <c r="X2" s="38"/>
      <c r="Y2" s="38"/>
      <c r="Z2" s="33" t="str">
        <f>$C$2</f>
        <v>LETcoef 計算</v>
      </c>
      <c r="AA2" s="167"/>
      <c r="AB2" s="168"/>
      <c r="AC2" s="38"/>
      <c r="AD2" s="38"/>
      <c r="AE2" s="169"/>
      <c r="AF2" s="38"/>
      <c r="AG2" s="38"/>
      <c r="AH2" s="38"/>
      <c r="AI2" s="38"/>
      <c r="AJ2" s="38"/>
      <c r="AK2" s="167"/>
      <c r="AL2" s="38"/>
      <c r="AM2" s="38"/>
      <c r="AN2" s="39"/>
      <c r="AO2" s="39"/>
      <c r="AP2" s="38"/>
      <c r="AQ2" s="167"/>
      <c r="AR2" s="38"/>
      <c r="AS2" s="39"/>
      <c r="AT2" s="39"/>
      <c r="AU2" s="38"/>
      <c r="AV2" s="167"/>
      <c r="AW2" s="38"/>
      <c r="AX2" s="38"/>
      <c r="AY2" s="38"/>
      <c r="AZ2" s="39"/>
      <c r="BA2" s="39"/>
      <c r="BB2" s="38"/>
      <c r="BC2" s="170"/>
      <c r="BD2" s="38"/>
      <c r="BE2" s="39"/>
      <c r="BF2" s="39"/>
      <c r="BG2" s="38"/>
      <c r="BH2" s="167"/>
      <c r="BI2" s="38"/>
      <c r="BJ2" s="38"/>
      <c r="BK2" s="38"/>
      <c r="BL2" s="171"/>
      <c r="BM2" s="172"/>
      <c r="BN2" s="38"/>
      <c r="BO2" s="169"/>
      <c r="BP2" s="38"/>
      <c r="BQ2" s="38"/>
      <c r="BR2" s="38"/>
      <c r="BS2" s="38"/>
      <c r="BT2" s="38"/>
      <c r="BU2" s="38"/>
      <c r="BV2" s="38"/>
      <c r="BW2" s="38"/>
      <c r="BX2" s="38"/>
      <c r="BY2" s="38"/>
      <c r="BZ2" s="38"/>
      <c r="CA2" s="38"/>
      <c r="CB2" s="38"/>
      <c r="CC2" s="38"/>
      <c r="CD2" s="38"/>
      <c r="CE2" s="38"/>
    </row>
    <row r="4" spans="2:83" ht="17.25">
      <c r="B4" s="24" t="s">
        <v>61</v>
      </c>
      <c r="Y4" s="173" t="s">
        <v>62</v>
      </c>
    </row>
    <row r="5" spans="2:83">
      <c r="B5" s="27" t="s">
        <v>63</v>
      </c>
      <c r="C5" s="174" t="s">
        <v>206</v>
      </c>
      <c r="D5" s="175"/>
      <c r="G5" s="176" t="s">
        <v>64</v>
      </c>
      <c r="H5" s="177">
        <f>[1]!srMaxLETt($C$10,0)</f>
        <v>40.998339999999999</v>
      </c>
      <c r="I5" s="37"/>
      <c r="K5" s="178"/>
      <c r="M5" s="37"/>
      <c r="N5" s="37"/>
      <c r="O5" s="37"/>
    </row>
    <row r="6" spans="2:83">
      <c r="B6" s="179" t="s">
        <v>65</v>
      </c>
      <c r="C6" s="180">
        <f>[1]!srInfoIonA($C$10)</f>
        <v>84</v>
      </c>
      <c r="D6" s="181" t="str">
        <f>[1]!srElmNm([1]!srInfoIonZ($C$10))</f>
        <v>Kr</v>
      </c>
      <c r="G6" s="176" t="s">
        <v>66</v>
      </c>
      <c r="H6" s="182">
        <f>SUM($C$16:$C$17)</f>
        <v>305</v>
      </c>
      <c r="I6" s="183" t="s">
        <v>67</v>
      </c>
      <c r="M6" s="183"/>
      <c r="N6" s="183"/>
      <c r="O6" s="183"/>
      <c r="Y6" s="153" t="s">
        <v>68</v>
      </c>
      <c r="AA6" s="184"/>
      <c r="AB6" s="184"/>
      <c r="AC6" s="48" t="s">
        <v>69</v>
      </c>
      <c r="AD6" s="185">
        <f>$C$6</f>
        <v>84</v>
      </c>
      <c r="AE6" s="186" t="str">
        <f>$D$6</f>
        <v>Kr</v>
      </c>
      <c r="AF6" s="157"/>
    </row>
    <row r="7" spans="2:83">
      <c r="B7" s="187" t="s">
        <v>70</v>
      </c>
      <c r="C7" s="188"/>
      <c r="D7" s="2" t="s">
        <v>71</v>
      </c>
      <c r="G7" s="189" t="s">
        <v>72</v>
      </c>
      <c r="H7" s="190">
        <f>[1]!srThkStd($C$12,$C$21*100,$C$20)</f>
        <v>0.99355249757727027</v>
      </c>
      <c r="I7" s="191" t="s">
        <v>73</v>
      </c>
      <c r="M7" s="191"/>
      <c r="N7" s="191"/>
      <c r="O7" s="191"/>
      <c r="Z7" s="40" t="s">
        <v>74</v>
      </c>
      <c r="AA7" s="192">
        <f>$C$20</f>
        <v>19.5</v>
      </c>
      <c r="AB7" s="153" t="s">
        <v>75</v>
      </c>
      <c r="AC7" s="48"/>
      <c r="AD7" s="193"/>
      <c r="AE7" s="23"/>
    </row>
    <row r="8" spans="2:83">
      <c r="F8" s="194"/>
      <c r="S8" s="8" t="s">
        <v>207</v>
      </c>
      <c r="Y8" s="195"/>
      <c r="Z8" s="40" t="s">
        <v>76</v>
      </c>
      <c r="AA8" s="196">
        <f>$C$21*100</f>
        <v>100500</v>
      </c>
      <c r="AB8" s="153" t="s">
        <v>77</v>
      </c>
      <c r="AC8" s="184"/>
      <c r="AD8" s="184"/>
      <c r="AE8" s="184"/>
      <c r="AF8" s="184"/>
    </row>
    <row r="9" spans="2:83">
      <c r="B9" s="14" t="s">
        <v>78</v>
      </c>
      <c r="C9" s="197" t="s">
        <v>79</v>
      </c>
      <c r="D9" s="198"/>
      <c r="G9" s="199" t="s">
        <v>80</v>
      </c>
      <c r="H9" s="200">
        <f>$C$25</f>
        <v>15</v>
      </c>
      <c r="I9" s="8" t="s">
        <v>81</v>
      </c>
      <c r="Y9" s="195"/>
      <c r="Z9" s="50" t="s">
        <v>82</v>
      </c>
      <c r="AA9" s="201">
        <f>$C$16</f>
        <v>145</v>
      </c>
      <c r="AB9" s="44" t="s">
        <v>83</v>
      </c>
      <c r="AC9" s="184"/>
      <c r="AD9" s="184"/>
      <c r="AE9" s="184"/>
      <c r="AF9" s="184"/>
      <c r="AG9" s="157"/>
    </row>
    <row r="10" spans="2:83">
      <c r="B10" s="202" t="s">
        <v>84</v>
      </c>
      <c r="C10" s="203" t="str">
        <f>$C$5&amp;B10</f>
        <v>srim84Kr_Si</v>
      </c>
      <c r="D10" s="46"/>
      <c r="F10" s="204"/>
      <c r="G10" s="205" t="s">
        <v>85</v>
      </c>
      <c r="H10" s="206">
        <f>$C$28</f>
        <v>39.799999999999997</v>
      </c>
      <c r="I10" s="37" t="s">
        <v>86</v>
      </c>
      <c r="J10" s="37"/>
      <c r="K10" s="37"/>
      <c r="M10" s="37"/>
      <c r="N10" s="37"/>
      <c r="O10" s="37"/>
      <c r="Y10" s="195"/>
      <c r="Z10" s="50" t="s">
        <v>87</v>
      </c>
      <c r="AA10" s="207">
        <f>$C$17</f>
        <v>160</v>
      </c>
      <c r="AB10" s="44" t="s">
        <v>88</v>
      </c>
      <c r="AC10" s="184"/>
      <c r="AD10" s="184"/>
      <c r="AE10" s="184"/>
      <c r="AF10" s="184"/>
    </row>
    <row r="11" spans="2:83">
      <c r="B11" s="202" t="s">
        <v>56</v>
      </c>
      <c r="C11" s="154" t="str">
        <f t="shared" ref="C11:C12" si="0">$C$5&amp;B11</f>
        <v>srim84Kr_Al</v>
      </c>
      <c r="D11" s="46"/>
      <c r="F11" s="204"/>
      <c r="G11" s="19" t="s">
        <v>89</v>
      </c>
      <c r="H11" s="208">
        <f>[1]!srLETt2E($C$10,H10,0,1)</f>
        <v>3.9848333360319095</v>
      </c>
      <c r="I11" s="37" t="s">
        <v>90</v>
      </c>
      <c r="J11" s="37"/>
      <c r="K11" s="37"/>
      <c r="L11" s="209" t="s">
        <v>91</v>
      </c>
      <c r="M11" s="37"/>
      <c r="N11" s="37"/>
      <c r="O11" s="37"/>
      <c r="Y11" s="195"/>
      <c r="Z11" s="50" t="s">
        <v>92</v>
      </c>
      <c r="AA11" s="210">
        <f>$H$6</f>
        <v>305</v>
      </c>
      <c r="AC11" s="184"/>
      <c r="AD11" s="184"/>
      <c r="AE11" s="184"/>
      <c r="AF11" s="184"/>
      <c r="AG11" s="184"/>
    </row>
    <row r="12" spans="2:83">
      <c r="B12" s="211" t="s">
        <v>93</v>
      </c>
      <c r="C12" s="212" t="str">
        <f t="shared" si="0"/>
        <v>srim84Kr_Air</v>
      </c>
      <c r="D12" s="213"/>
      <c r="G12" s="19"/>
      <c r="H12" s="214">
        <f>H11*$C$6</f>
        <v>334.72600022668041</v>
      </c>
      <c r="I12" s="37" t="s">
        <v>94</v>
      </c>
      <c r="J12" s="37"/>
      <c r="K12" s="37"/>
      <c r="M12" s="37"/>
      <c r="N12" s="37"/>
      <c r="O12" s="37"/>
      <c r="Y12" s="195"/>
      <c r="AC12" s="184"/>
      <c r="AD12" s="184"/>
      <c r="AE12" s="184"/>
      <c r="AF12" s="184"/>
      <c r="AG12" s="184"/>
    </row>
    <row r="13" spans="2:83">
      <c r="B13" s="215"/>
      <c r="C13" s="154"/>
      <c r="D13" s="23"/>
      <c r="G13" s="176" t="s">
        <v>95</v>
      </c>
      <c r="H13" s="216">
        <f>[1]!srE2Rng($C$10,H11)</f>
        <v>42.24429842457215</v>
      </c>
      <c r="I13" s="183" t="s">
        <v>96</v>
      </c>
      <c r="J13" s="37"/>
      <c r="K13" s="176" t="s">
        <v>97</v>
      </c>
      <c r="L13" s="216">
        <f>[1]!srE2Rng($C$11,H11)</f>
        <v>37.165915221579972</v>
      </c>
      <c r="M13" s="183" t="s">
        <v>96</v>
      </c>
      <c r="N13" s="183"/>
      <c r="O13" s="183"/>
      <c r="Z13" s="154" t="s">
        <v>98</v>
      </c>
      <c r="AA13" s="23"/>
      <c r="AB13" s="23"/>
      <c r="AC13" s="184"/>
      <c r="AD13" s="184"/>
      <c r="AG13" s="184"/>
    </row>
    <row r="14" spans="2:83">
      <c r="B14" s="215"/>
      <c r="C14" s="154"/>
      <c r="D14" s="23"/>
      <c r="G14" s="217" t="s">
        <v>99</v>
      </c>
      <c r="Y14" s="25"/>
      <c r="Z14" s="48" t="s">
        <v>100</v>
      </c>
      <c r="AA14" s="192">
        <f>$C$23</f>
        <v>15</v>
      </c>
      <c r="AB14" s="154" t="s">
        <v>101</v>
      </c>
      <c r="AG14" s="184"/>
    </row>
    <row r="15" spans="2:83">
      <c r="B15" s="218" t="s">
        <v>57</v>
      </c>
      <c r="C15" s="13" t="s">
        <v>102</v>
      </c>
      <c r="D15" s="219"/>
      <c r="G15" s="176" t="s">
        <v>103</v>
      </c>
      <c r="H15" s="220">
        <f>H13+H9</f>
        <v>57.24429842457215</v>
      </c>
      <c r="I15" s="8" t="s">
        <v>104</v>
      </c>
      <c r="Z15" s="48" t="s">
        <v>105</v>
      </c>
      <c r="AA15" s="201">
        <f>$C$24</f>
        <v>0</v>
      </c>
      <c r="AB15" s="221" t="s">
        <v>106</v>
      </c>
      <c r="AG15" s="184"/>
    </row>
    <row r="16" spans="2:83">
      <c r="B16" s="222" t="s">
        <v>2</v>
      </c>
      <c r="C16" s="223">
        <v>145</v>
      </c>
      <c r="D16" s="224"/>
      <c r="G16" s="225" t="s">
        <v>107</v>
      </c>
      <c r="H16" s="226">
        <f>[1]!srRng2E($C$10,H15)</f>
        <v>5.5888396408424743</v>
      </c>
      <c r="I16" s="8" t="s">
        <v>108</v>
      </c>
      <c r="Z16" s="227" t="s">
        <v>109</v>
      </c>
      <c r="AA16" s="228">
        <f>$C$25</f>
        <v>15</v>
      </c>
      <c r="AB16" s="229" t="s">
        <v>110</v>
      </c>
      <c r="AG16" s="184"/>
    </row>
    <row r="17" spans="2:32">
      <c r="B17" s="230" t="s">
        <v>111</v>
      </c>
      <c r="C17" s="231">
        <v>160</v>
      </c>
      <c r="D17" s="232"/>
      <c r="H17" s="233">
        <f>H16*$C$6</f>
        <v>469.46252983076783</v>
      </c>
      <c r="I17" s="37" t="s">
        <v>112</v>
      </c>
      <c r="M17" s="37"/>
      <c r="N17" s="37"/>
      <c r="O17" s="37"/>
    </row>
    <row r="18" spans="2:32" ht="14.25">
      <c r="B18" s="221"/>
      <c r="C18" s="156"/>
      <c r="D18" s="234"/>
      <c r="G18" s="205" t="s">
        <v>113</v>
      </c>
      <c r="H18" s="235">
        <f>[1]!srE2LETt($C$10,H16,0)</f>
        <v>37.611965013117043</v>
      </c>
      <c r="I18" s="37" t="s">
        <v>114</v>
      </c>
      <c r="M18" s="37"/>
      <c r="N18" s="37"/>
      <c r="O18" s="37"/>
      <c r="Z18" s="40" t="s">
        <v>115</v>
      </c>
      <c r="AA18" s="236">
        <f>$C$28</f>
        <v>39.799999999999997</v>
      </c>
      <c r="AB18" s="24" t="s">
        <v>116</v>
      </c>
    </row>
    <row r="19" spans="2:32">
      <c r="B19" s="237"/>
      <c r="C19" s="238" t="s">
        <v>117</v>
      </c>
      <c r="D19" s="239"/>
      <c r="G19" s="240" t="s">
        <v>118</v>
      </c>
      <c r="H19" s="241"/>
    </row>
    <row r="20" spans="2:32" ht="14.25" thickBot="1">
      <c r="B20" s="41" t="s">
        <v>5</v>
      </c>
      <c r="C20" s="242">
        <v>19.5</v>
      </c>
      <c r="D20" s="42" t="s">
        <v>3</v>
      </c>
      <c r="G20" s="189" t="s">
        <v>119</v>
      </c>
      <c r="H20" s="243">
        <f>[1]!srE2Rng($C$12,H16)/$H$7/1000</f>
        <v>95.096110733277015</v>
      </c>
      <c r="I20" s="8" t="s">
        <v>120</v>
      </c>
      <c r="AD20" s="189" t="s">
        <v>121</v>
      </c>
      <c r="AE20" s="358" t="str">
        <f>"換算深さ "&amp;TEXT($AA$16,"0.0")&amp;"um で LET="&amp;TEXT($AA$18,"0.0")</f>
        <v>換算深さ 15.0um で LET=39.8</v>
      </c>
      <c r="AF20" s="358"/>
    </row>
    <row r="21" spans="2:32" ht="14.25">
      <c r="B21" s="17" t="s">
        <v>7</v>
      </c>
      <c r="C21" s="244">
        <v>1005</v>
      </c>
      <c r="D21" s="1" t="s">
        <v>122</v>
      </c>
      <c r="G21" s="189" t="s">
        <v>123</v>
      </c>
      <c r="H21" s="243">
        <f>H20+$H$6</f>
        <v>400.09611073327699</v>
      </c>
      <c r="I21" s="8" t="s">
        <v>124</v>
      </c>
      <c r="Z21" s="245"/>
      <c r="AA21" s="359" t="s">
        <v>125</v>
      </c>
      <c r="AB21" s="360"/>
      <c r="AC21" s="360"/>
      <c r="AD21" s="361"/>
      <c r="AE21" s="246">
        <f>$AA$16</f>
        <v>15</v>
      </c>
      <c r="AF21" s="247" t="s">
        <v>126</v>
      </c>
    </row>
    <row r="22" spans="2:32">
      <c r="B22" s="248" t="s">
        <v>98</v>
      </c>
      <c r="C22" s="3"/>
      <c r="D22" s="4"/>
      <c r="F22" s="183"/>
      <c r="G22" s="199" t="s">
        <v>127</v>
      </c>
      <c r="H22" s="249">
        <f>[1]!srRng2E($C$12,H21*$H$7*1000)</f>
        <v>19.388227170073943</v>
      </c>
      <c r="I22" s="8" t="s">
        <v>128</v>
      </c>
      <c r="Y22" s="23"/>
      <c r="Z22" s="23"/>
      <c r="AA22" s="250" t="s">
        <v>129</v>
      </c>
      <c r="AB22" s="251" t="s">
        <v>130</v>
      </c>
      <c r="AC22" s="251" t="s">
        <v>131</v>
      </c>
      <c r="AD22" s="252" t="s">
        <v>59</v>
      </c>
      <c r="AE22" s="250" t="s">
        <v>132</v>
      </c>
      <c r="AF22" s="253" t="s">
        <v>133</v>
      </c>
    </row>
    <row r="23" spans="2:32">
      <c r="B23" s="85" t="s">
        <v>100</v>
      </c>
      <c r="C23" s="30">
        <v>15</v>
      </c>
      <c r="D23" s="254" t="s">
        <v>0</v>
      </c>
      <c r="F23" s="183"/>
      <c r="G23" s="189"/>
      <c r="Q23" s="8" t="s">
        <v>134</v>
      </c>
      <c r="Y23" s="23"/>
      <c r="Z23" s="23"/>
      <c r="AA23" s="255" t="s">
        <v>135</v>
      </c>
      <c r="AB23" s="256" t="s">
        <v>58</v>
      </c>
      <c r="AC23" s="256" t="s">
        <v>136</v>
      </c>
      <c r="AD23" s="257" t="s">
        <v>137</v>
      </c>
      <c r="AE23" s="255" t="s">
        <v>138</v>
      </c>
      <c r="AF23" s="258" t="s">
        <v>58</v>
      </c>
    </row>
    <row r="24" spans="2:32">
      <c r="B24" s="85" t="s">
        <v>105</v>
      </c>
      <c r="C24" s="30">
        <v>0</v>
      </c>
      <c r="D24" s="259" t="s">
        <v>106</v>
      </c>
      <c r="F24" s="183"/>
      <c r="G24" s="260" t="s">
        <v>139</v>
      </c>
      <c r="Y24" s="23"/>
      <c r="Z24" s="23"/>
      <c r="AA24" s="261">
        <f>$H$16</f>
        <v>5.5888396408424743</v>
      </c>
      <c r="AB24" s="262">
        <f>$H$10</f>
        <v>39.799999999999997</v>
      </c>
      <c r="AC24" s="263">
        <f>$H$13</f>
        <v>42.24429842457215</v>
      </c>
      <c r="AD24" s="264">
        <f>$L$13</f>
        <v>37.165915221579972</v>
      </c>
      <c r="AE24" s="261">
        <f>$H$11</f>
        <v>3.9848333360319095</v>
      </c>
      <c r="AF24" s="265">
        <f>$H$10</f>
        <v>39.799999999999997</v>
      </c>
    </row>
    <row r="25" spans="2:32">
      <c r="B25" s="187" t="s">
        <v>109</v>
      </c>
      <c r="C25" s="266">
        <f>C23/COS(RADIANS(C24))</f>
        <v>15</v>
      </c>
      <c r="D25" s="267" t="s">
        <v>140</v>
      </c>
      <c r="F25" s="183"/>
      <c r="G25" s="268" t="s">
        <v>141</v>
      </c>
      <c r="H25" s="269" t="s">
        <v>142</v>
      </c>
      <c r="I25" s="270"/>
      <c r="J25" s="271" t="s">
        <v>143</v>
      </c>
      <c r="K25" s="271" t="s">
        <v>144</v>
      </c>
      <c r="L25" s="272" t="s">
        <v>145</v>
      </c>
      <c r="M25" s="273" t="s">
        <v>146</v>
      </c>
      <c r="N25" s="274"/>
      <c r="O25" s="272" t="s">
        <v>147</v>
      </c>
      <c r="Q25" s="275"/>
      <c r="R25" s="271" t="s">
        <v>148</v>
      </c>
      <c r="S25" s="271" t="s">
        <v>149</v>
      </c>
      <c r="T25" s="272" t="s">
        <v>150</v>
      </c>
      <c r="U25" s="275"/>
      <c r="V25" s="272" t="s">
        <v>148</v>
      </c>
      <c r="Y25" s="276" t="s">
        <v>151</v>
      </c>
      <c r="Z25" s="3"/>
      <c r="AA25" s="277">
        <f>AA24*$C$6</f>
        <v>469.46252983076783</v>
      </c>
      <c r="AB25" s="278"/>
      <c r="AC25" s="279"/>
      <c r="AD25" s="280"/>
      <c r="AE25" s="277">
        <f>AE24*$C$6</f>
        <v>334.72600022668041</v>
      </c>
      <c r="AF25" s="281"/>
    </row>
    <row r="26" spans="2:32">
      <c r="G26" s="282" t="s">
        <v>152</v>
      </c>
      <c r="H26" s="136" t="s">
        <v>153</v>
      </c>
      <c r="I26" s="136" t="s">
        <v>154</v>
      </c>
      <c r="J26" s="283"/>
      <c r="K26" s="136" t="s">
        <v>155</v>
      </c>
      <c r="L26" s="138" t="s">
        <v>155</v>
      </c>
      <c r="M26" s="284" t="s">
        <v>153</v>
      </c>
      <c r="N26" s="136" t="s">
        <v>154</v>
      </c>
      <c r="O26" s="138"/>
      <c r="P26" s="9"/>
      <c r="Q26" s="284" t="s">
        <v>154</v>
      </c>
      <c r="R26" s="283"/>
      <c r="S26" s="136" t="s">
        <v>155</v>
      </c>
      <c r="T26" s="138" t="s">
        <v>155</v>
      </c>
      <c r="U26" s="284" t="s">
        <v>154</v>
      </c>
      <c r="V26" s="155"/>
      <c r="Y26" s="285" t="s">
        <v>156</v>
      </c>
      <c r="Z26" s="23"/>
      <c r="AA26" s="286" t="s">
        <v>157</v>
      </c>
      <c r="AB26" s="16" t="s">
        <v>158</v>
      </c>
      <c r="AC26" s="16" t="s">
        <v>159</v>
      </c>
      <c r="AD26" s="287" t="s">
        <v>159</v>
      </c>
      <c r="AE26" s="286" t="s">
        <v>157</v>
      </c>
      <c r="AF26" s="288" t="s">
        <v>158</v>
      </c>
    </row>
    <row r="27" spans="2:32">
      <c r="B27" s="276" t="s">
        <v>160</v>
      </c>
      <c r="C27" s="3"/>
      <c r="D27" s="4"/>
      <c r="F27" s="8" t="s">
        <v>161</v>
      </c>
      <c r="G27" s="289">
        <f>G28-F28</f>
        <v>17.5</v>
      </c>
      <c r="H27" s="290">
        <f>[1]!srEnewGas($C$12,H$22,$H$6,$C$21*100,G27)</f>
        <v>5.4617978867012722</v>
      </c>
      <c r="I27" s="291">
        <f>H27*$C$6</f>
        <v>458.79102248290684</v>
      </c>
      <c r="J27" s="290">
        <f>[1]!srE2LETt($C$10,H27,0)</f>
        <v>37.800449444497907</v>
      </c>
      <c r="K27" s="291">
        <f>[1]!srE2Rng($C$10,H27)</f>
        <v>56.019209381037712</v>
      </c>
      <c r="L27" s="292">
        <f>[1]!srE2Rng($C$11,H27)</f>
        <v>49.246135066277013</v>
      </c>
      <c r="M27" s="293">
        <f>[1]!srEnew($C$10,H27,H$9)</f>
        <v>3.8500809991379836</v>
      </c>
      <c r="N27" s="291">
        <f>M27*$C$6</f>
        <v>323.4068039275906</v>
      </c>
      <c r="O27" s="294">
        <f>[1]!srE2LETt($C$10,M27,0)</f>
        <v>39.957270394128436</v>
      </c>
      <c r="P27" s="189"/>
      <c r="Q27" s="293">
        <f>(I29+I33*(G27-G29))-I27</f>
        <v>7.2509397599446856E-2</v>
      </c>
      <c r="R27" s="290">
        <f>(J29+J33*(G27-G29))-J27</f>
        <v>-1.2806899841564245E-3</v>
      </c>
      <c r="S27" s="290">
        <f>(K29+K33*(G27-G29))-K27</f>
        <v>8.3240788444172154E-3</v>
      </c>
      <c r="T27" s="294">
        <f>(L29+L33*(G27-G29))-L27</f>
        <v>7.3089472780267783E-3</v>
      </c>
      <c r="U27" s="293">
        <f>(N29+N33*(G27-G29))-N27</f>
        <v>8.7372509377757979E-2</v>
      </c>
      <c r="V27" s="294">
        <f>(O29+O33*(G27-G29))-O27</f>
        <v>2.7884147154821903E-4</v>
      </c>
      <c r="Y27" s="295"/>
      <c r="Z27" s="296"/>
      <c r="AA27" s="297">
        <f>$I$33</f>
        <v>5.2994989751307449</v>
      </c>
      <c r="AB27" s="298">
        <f>$J$33</f>
        <v>-9.3601870698349632E-2</v>
      </c>
      <c r="AC27" s="298">
        <f>$K$33</f>
        <v>0.60838248234500791</v>
      </c>
      <c r="AD27" s="299">
        <f>$L$33</f>
        <v>0.53418949669317817</v>
      </c>
      <c r="AE27" s="297">
        <f>$N$33</f>
        <v>5.6159118948559748</v>
      </c>
      <c r="AF27" s="300">
        <f>$O$33</f>
        <v>-7.8774617799992799E-2</v>
      </c>
    </row>
    <row r="28" spans="2:32">
      <c r="B28" s="43" t="s">
        <v>162</v>
      </c>
      <c r="C28" s="301">
        <v>39.799999999999997</v>
      </c>
      <c r="D28" s="2"/>
      <c r="F28" s="194">
        <v>1</v>
      </c>
      <c r="G28" s="289">
        <f>G29-F28</f>
        <v>18.5</v>
      </c>
      <c r="H28" s="290">
        <f>[1]!srEnewGas($C$12,H$22,$H$6,$C$21*100,G28)</f>
        <v>5.5255365620817329</v>
      </c>
      <c r="I28" s="291">
        <f>H28*$C$6</f>
        <v>464.14507121486554</v>
      </c>
      <c r="J28" s="290">
        <f>[1]!srE2LETt($C$10,H28,0)</f>
        <v>37.705884094174557</v>
      </c>
      <c r="K28" s="291">
        <f>[1]!srE2Rng($C$10,H28)</f>
        <v>56.633854175466567</v>
      </c>
      <c r="L28" s="292">
        <f>[1]!srE2Rng($C$11,H28)</f>
        <v>49.78582317845845</v>
      </c>
      <c r="M28" s="293">
        <f>[1]!srEnew($C$10,H28,H$9)</f>
        <v>3.9177928061266218</v>
      </c>
      <c r="N28" s="291">
        <f>M28*$C$6</f>
        <v>329.09459571463623</v>
      </c>
      <c r="O28" s="294">
        <f>[1]!srE2LETt($C$10,M28,0)</f>
        <v>39.879497411215624</v>
      </c>
      <c r="P28" s="189"/>
      <c r="Q28" s="293">
        <f>(I29+I33*(G28-G29))-I28</f>
        <v>1.7959640771493923E-2</v>
      </c>
      <c r="R28" s="290">
        <f>(J29+J33*(G28-G29))-J28</f>
        <v>-3.1721035915666107E-4</v>
      </c>
      <c r="S28" s="290">
        <f>(K29+K33*(G28-G29))-K28</f>
        <v>2.0617667605691281E-3</v>
      </c>
      <c r="T28" s="294">
        <f>(L29+L33*(G28-G29))-L28</f>
        <v>1.8103317897626425E-3</v>
      </c>
      <c r="U28" s="293">
        <f>(N29+N33*(G28-G29))-N28</f>
        <v>1.5492617188101576E-2</v>
      </c>
      <c r="V28" s="294">
        <f>(O29+O33*(G28-G29))-O28</f>
        <v>-7.227934156333049E-4</v>
      </c>
      <c r="Y28" s="302" t="s">
        <v>163</v>
      </c>
      <c r="Z28" s="303"/>
      <c r="AA28" s="304" t="s">
        <v>164</v>
      </c>
      <c r="AB28" s="305" t="s">
        <v>165</v>
      </c>
      <c r="AC28" s="305" t="s">
        <v>166</v>
      </c>
      <c r="AD28" s="306" t="s">
        <v>166</v>
      </c>
      <c r="AE28" s="304" t="s">
        <v>164</v>
      </c>
      <c r="AF28" s="307" t="s">
        <v>165</v>
      </c>
    </row>
    <row r="29" spans="2:32">
      <c r="G29" s="308">
        <f>$C$20</f>
        <v>19.5</v>
      </c>
      <c r="H29" s="309">
        <f>[1]!srEnewGas($C$12,H$22,$H$6,$C$21*100,G29)</f>
        <v>5.5888396408424734</v>
      </c>
      <c r="I29" s="291">
        <f>H29*$C$6</f>
        <v>469.46252983076778</v>
      </c>
      <c r="J29" s="290">
        <f>[1]!srE2LETt($C$10,H29,0)</f>
        <v>37.61196501311705</v>
      </c>
      <c r="K29" s="291">
        <f>[1]!srE2Rng($C$10,H29)</f>
        <v>57.244298424572143</v>
      </c>
      <c r="L29" s="292">
        <f>[1]!srE2Rng($C$11,H29)</f>
        <v>50.321823006941393</v>
      </c>
      <c r="M29" s="293">
        <f>[1]!srEnew($C$10,H29,H$9)</f>
        <v>3.9848333360319086</v>
      </c>
      <c r="N29" s="291">
        <f>M29*$C$6</f>
        <v>334.7260002266803</v>
      </c>
      <c r="O29" s="294">
        <f>[1]!srE2LETt($C$10,M29,0)</f>
        <v>39.799999999999997</v>
      </c>
      <c r="P29" s="189"/>
      <c r="Q29" s="310" t="s">
        <v>167</v>
      </c>
      <c r="R29" s="311" t="s">
        <v>167</v>
      </c>
      <c r="S29" s="311" t="s">
        <v>167</v>
      </c>
      <c r="T29" s="312" t="s">
        <v>167</v>
      </c>
      <c r="U29" s="310" t="s">
        <v>167</v>
      </c>
      <c r="V29" s="312" t="s">
        <v>167</v>
      </c>
      <c r="Y29" s="295"/>
      <c r="Z29" s="296"/>
      <c r="AA29" s="297">
        <f>$I$45*1000</f>
        <v>-15.475127053702803</v>
      </c>
      <c r="AB29" s="298">
        <f>$J$45*1000</f>
        <v>0.27151280610990014</v>
      </c>
      <c r="AC29" s="298">
        <f>$K$45*1000</f>
        <v>-1.771142435185538</v>
      </c>
      <c r="AD29" s="299">
        <f>$L$45*1000</f>
        <v>-1.5549429585498937</v>
      </c>
      <c r="AE29" s="297">
        <f>$N$45*1000</f>
        <v>-16.371423652587907</v>
      </c>
      <c r="AF29" s="300">
        <f>$O$45*1000</f>
        <v>0.22693823040184705</v>
      </c>
    </row>
    <row r="30" spans="2:32">
      <c r="G30" s="289">
        <f>G29+F28</f>
        <v>20.5</v>
      </c>
      <c r="H30" s="290">
        <f>[1]!srEnewGas($C$12,H$22,$H$6,$C$21*100,G30)</f>
        <v>5.6517115731447696</v>
      </c>
      <c r="I30" s="291">
        <f>H30*$C$6</f>
        <v>474.74377214416063</v>
      </c>
      <c r="J30" s="290">
        <f>[1]!srE2LETt($C$10,H30,0)</f>
        <v>37.518685598880978</v>
      </c>
      <c r="K30" s="291">
        <f>[1]!srE2Rng($C$10,H30)</f>
        <v>57.850585042149639</v>
      </c>
      <c r="L30" s="292">
        <f>[1]!srE2Rng($C$11,H30)</f>
        <v>50.85417223213139</v>
      </c>
      <c r="M30" s="293">
        <f>[1]!srEnew($C$10,H30,H$9)</f>
        <v>4.0514172643372914</v>
      </c>
      <c r="N30" s="291">
        <f>M30*$C$6</f>
        <v>340.31905020433248</v>
      </c>
      <c r="O30" s="294">
        <f>[1]!srE2LETt($C$10,M30,0)</f>
        <v>39.721044032075476</v>
      </c>
      <c r="P30" s="189"/>
      <c r="Q30" s="293">
        <f>(I29+I33*(G30-G29))-I30</f>
        <v>1.8256661737893864E-2</v>
      </c>
      <c r="R30" s="290">
        <f>(J29+J33*(G30-G29))-J30</f>
        <v>-3.2245646227835323E-4</v>
      </c>
      <c r="S30" s="290">
        <f>(K29+K33*(G30-G29))-K30</f>
        <v>2.0958647675115571E-3</v>
      </c>
      <c r="T30" s="294">
        <f>(L29+L33*(G30-G29))-L30</f>
        <v>1.8402715031839989E-3</v>
      </c>
      <c r="U30" s="293">
        <f>(N29+N33*(G30-G29))-N30</f>
        <v>2.2861917203783833E-2</v>
      </c>
      <c r="V30" s="294">
        <f>(O29+O33*(G30-G29))-O30</f>
        <v>1.8135012452802357E-4</v>
      </c>
      <c r="Y30" s="302" t="s">
        <v>168</v>
      </c>
      <c r="Z30" s="303"/>
      <c r="AA30" s="304" t="s">
        <v>169</v>
      </c>
      <c r="AB30" s="305" t="s">
        <v>170</v>
      </c>
      <c r="AC30" s="305" t="s">
        <v>171</v>
      </c>
      <c r="AD30" s="306" t="s">
        <v>171</v>
      </c>
      <c r="AE30" s="304" t="s">
        <v>169</v>
      </c>
      <c r="AF30" s="307" t="s">
        <v>170</v>
      </c>
    </row>
    <row r="31" spans="2:32">
      <c r="G31" s="313">
        <f>G30+F28</f>
        <v>21.5</v>
      </c>
      <c r="H31" s="314">
        <f>[1]!srEnewGas($C$12,H$22,$H$6,$C$21*100,G31)</f>
        <v>5.7141567487370599</v>
      </c>
      <c r="I31" s="315">
        <f>H31*$C$6</f>
        <v>479.98916689391302</v>
      </c>
      <c r="J31" s="314">
        <f>[1]!srE2LETt($C$10,H31,0)</f>
        <v>37.426039338652949</v>
      </c>
      <c r="K31" s="315">
        <f>[1]!srE2Rng($C$10,H31)</f>
        <v>58.452756359421215</v>
      </c>
      <c r="L31" s="316">
        <f>[1]!srE2Rng($C$11,H31)</f>
        <v>51.382908022906435</v>
      </c>
      <c r="M31" s="317">
        <f>[1]!srEnew($C$10,H31,H$9)</f>
        <v>4.1175492399645517</v>
      </c>
      <c r="N31" s="315">
        <f>M31*$C$6</f>
        <v>345.87413615702235</v>
      </c>
      <c r="O31" s="318">
        <f>[1]!srE2LETt($C$10,M31,0)</f>
        <v>39.642623994698546</v>
      </c>
      <c r="P31" s="189"/>
      <c r="Q31" s="317">
        <f>(I29+I33*(G31-G29))-I31</f>
        <v>7.2360887116246886E-2</v>
      </c>
      <c r="R31" s="314">
        <f>(J29+J33*(G31-G29))-J31</f>
        <v>-1.2780669325991312E-3</v>
      </c>
      <c r="S31" s="314">
        <f>(K29+K33*(G31-G29))-K31</f>
        <v>8.3070298409424481E-3</v>
      </c>
      <c r="T31" s="318">
        <f>(L29+L33*(G31-G29))-L31</f>
        <v>7.2939774213125474E-3</v>
      </c>
      <c r="U31" s="317">
        <f>(N29+N33*(G31-G29))-N31</f>
        <v>8.3687859369888429E-2</v>
      </c>
      <c r="V31" s="318">
        <f>(O29+O33*(G31-G29))-O31</f>
        <v>-1.7323029853599792E-4</v>
      </c>
      <c r="Y31" s="295"/>
      <c r="Z31" s="296"/>
      <c r="AA31" s="297">
        <f>$I$57</f>
        <v>-5.095676730458095</v>
      </c>
      <c r="AB31" s="298">
        <f>$J$57</f>
        <v>8.9051073527968608E-2</v>
      </c>
      <c r="AC31" s="298">
        <f>$K$57</f>
        <v>-0.58384825896044612</v>
      </c>
      <c r="AD31" s="299">
        <f>$L$57</f>
        <v>-0.51262994017296903</v>
      </c>
      <c r="AE31" s="297">
        <f>$N$57</f>
        <v>-5.3937179168542873</v>
      </c>
      <c r="AF31" s="300">
        <f>$O$57</f>
        <v>7.371802144455826E-2</v>
      </c>
    </row>
    <row r="32" spans="2:32">
      <c r="G32" s="189"/>
      <c r="H32" s="189"/>
      <c r="I32" s="319" t="s">
        <v>172</v>
      </c>
      <c r="J32" s="320" t="s">
        <v>173</v>
      </c>
      <c r="K32" s="320" t="s">
        <v>174</v>
      </c>
      <c r="L32" s="321" t="s">
        <v>174</v>
      </c>
      <c r="M32" s="322"/>
      <c r="N32" s="319" t="s">
        <v>172</v>
      </c>
      <c r="O32" s="321" t="s">
        <v>173</v>
      </c>
      <c r="P32" s="189"/>
      <c r="Q32" s="189"/>
      <c r="R32" s="189"/>
      <c r="S32" s="189"/>
      <c r="T32" s="189"/>
      <c r="U32" s="189"/>
      <c r="V32" s="189"/>
      <c r="Y32" s="285" t="s">
        <v>175</v>
      </c>
      <c r="Z32" s="23"/>
      <c r="AA32" s="323"/>
      <c r="AB32" s="324" t="s">
        <v>176</v>
      </c>
      <c r="AC32" s="324" t="s">
        <v>177</v>
      </c>
      <c r="AD32" s="325" t="s">
        <v>177</v>
      </c>
      <c r="AE32" s="323"/>
      <c r="AF32" s="326" t="s">
        <v>176</v>
      </c>
    </row>
    <row r="33" spans="6:33" ht="14.25" thickBot="1">
      <c r="G33" s="189"/>
      <c r="H33" s="189" t="s">
        <v>178</v>
      </c>
      <c r="I33" s="327">
        <f>INDEX(LINEST(I27:I31,G27:G31),1)</f>
        <v>5.2994989751307449</v>
      </c>
      <c r="J33" s="328">
        <f>INDEX(LINEST(J27:J31,G27:G31),1)</f>
        <v>-9.3601870698349632E-2</v>
      </c>
      <c r="K33" s="328">
        <f>INDEX(LINEST(K27:K31,G27:G31),1)</f>
        <v>0.60838248234500791</v>
      </c>
      <c r="L33" s="329">
        <f>INDEX(LINEST(L27:L31,G27:G31),1)</f>
        <v>0.53418949669317817</v>
      </c>
      <c r="M33" s="328"/>
      <c r="N33" s="327">
        <f>INDEX(LINEST(N27:N31,G27:G31),1)</f>
        <v>5.6159118948559748</v>
      </c>
      <c r="O33" s="329">
        <f>INDEX(LINEST(O27:O31,G27:G31),1)</f>
        <v>-7.8774617799992799E-2</v>
      </c>
      <c r="P33" s="189"/>
      <c r="Q33" s="189"/>
      <c r="R33" s="189"/>
      <c r="S33" s="189"/>
      <c r="T33" s="189"/>
      <c r="U33" s="189"/>
      <c r="V33" s="189"/>
      <c r="Y33" s="295"/>
      <c r="Z33" s="296"/>
      <c r="AA33" s="330"/>
      <c r="AB33" s="331">
        <f>$J$69</f>
        <v>-1.7653953118820238E-2</v>
      </c>
      <c r="AC33" s="331">
        <f>$K$69</f>
        <v>0.11477420143187679</v>
      </c>
      <c r="AD33" s="332">
        <f>$L$69</f>
        <v>0.10077635131255368</v>
      </c>
      <c r="AE33" s="330"/>
      <c r="AF33" s="333">
        <f>$O$69</f>
        <v>-1.4731319583034334E-2</v>
      </c>
    </row>
    <row r="34" spans="6:33" ht="14.25" customHeight="1">
      <c r="G34" s="189"/>
      <c r="H34" s="189" t="s">
        <v>179</v>
      </c>
      <c r="I34" s="334">
        <f>INDEX(LINEST(I27:I31,G27:G31,,1),3)</f>
        <v>0.99998365294488334</v>
      </c>
      <c r="J34" s="335">
        <f>INDEX(LINEST(J27:J31,G27:G31,,1),3)</f>
        <v>0.99998365294488334</v>
      </c>
      <c r="K34" s="335">
        <f>INDEX(LINEST(K27:K31,G27:G31,,1),3)</f>
        <v>0.99998365294488334</v>
      </c>
      <c r="L34" s="336">
        <f>INDEX(LINEST(L27:L31,G27:G31,,1),3)</f>
        <v>0.99998365294488334</v>
      </c>
      <c r="M34" s="337"/>
      <c r="N34" s="334">
        <f>INDEX(LINEST(N27:N31,G27:G31,,1),3)</f>
        <v>0.99997898045554234</v>
      </c>
      <c r="O34" s="336">
        <f>INDEX(LINEST(O27:O31,G27:G31,,1),3)</f>
        <v>0.99998992685084331</v>
      </c>
      <c r="P34" s="189"/>
      <c r="Q34" s="189"/>
      <c r="R34" s="189"/>
      <c r="S34" s="189"/>
      <c r="T34" s="189"/>
      <c r="U34" s="189"/>
      <c r="V34" s="189"/>
    </row>
    <row r="35" spans="6:33" ht="14.25" customHeight="1">
      <c r="G35" s="189"/>
      <c r="H35" s="189"/>
      <c r="I35" s="189"/>
      <c r="J35" s="189"/>
      <c r="K35" s="189"/>
      <c r="L35" s="189"/>
      <c r="M35" s="189"/>
      <c r="N35" s="189"/>
      <c r="O35" s="189"/>
      <c r="P35" s="189"/>
      <c r="Q35" s="189"/>
      <c r="R35" s="189"/>
      <c r="S35" s="189"/>
      <c r="T35" s="189"/>
      <c r="U35" s="189"/>
      <c r="V35" s="189"/>
    </row>
    <row r="36" spans="6:33">
      <c r="G36" s="260" t="s">
        <v>180</v>
      </c>
      <c r="P36" s="189"/>
      <c r="Q36" s="189"/>
      <c r="R36" s="189"/>
      <c r="S36" s="189"/>
      <c r="T36" s="189"/>
      <c r="U36" s="189"/>
      <c r="V36" s="189"/>
    </row>
    <row r="37" spans="6:33">
      <c r="G37" s="268" t="s">
        <v>181</v>
      </c>
      <c r="H37" s="274" t="s">
        <v>182</v>
      </c>
      <c r="I37" s="270"/>
      <c r="J37" s="271" t="s">
        <v>162</v>
      </c>
      <c r="K37" s="271" t="s">
        <v>183</v>
      </c>
      <c r="L37" s="272" t="s">
        <v>184</v>
      </c>
      <c r="M37" s="273" t="s">
        <v>146</v>
      </c>
      <c r="N37" s="274"/>
      <c r="O37" s="272" t="s">
        <v>147</v>
      </c>
      <c r="Q37" s="275"/>
      <c r="R37" s="271" t="s">
        <v>162</v>
      </c>
      <c r="S37" s="271" t="s">
        <v>183</v>
      </c>
      <c r="T37" s="272" t="s">
        <v>185</v>
      </c>
      <c r="U37" s="275"/>
      <c r="V37" s="272" t="s">
        <v>162</v>
      </c>
    </row>
    <row r="38" spans="6:33">
      <c r="G38" s="282" t="s">
        <v>186</v>
      </c>
      <c r="H38" s="136" t="s">
        <v>187</v>
      </c>
      <c r="I38" s="136" t="s">
        <v>112</v>
      </c>
      <c r="J38" s="283"/>
      <c r="K38" s="136" t="s">
        <v>188</v>
      </c>
      <c r="L38" s="138" t="s">
        <v>188</v>
      </c>
      <c r="M38" s="284" t="s">
        <v>187</v>
      </c>
      <c r="N38" s="136" t="s">
        <v>189</v>
      </c>
      <c r="O38" s="138"/>
      <c r="P38" s="9"/>
      <c r="Q38" s="284" t="s">
        <v>112</v>
      </c>
      <c r="R38" s="283"/>
      <c r="S38" s="136" t="s">
        <v>188</v>
      </c>
      <c r="T38" s="138" t="s">
        <v>188</v>
      </c>
      <c r="U38" s="284" t="s">
        <v>112</v>
      </c>
      <c r="V38" s="155"/>
    </row>
    <row r="39" spans="6:33">
      <c r="F39" s="8" t="s">
        <v>190</v>
      </c>
      <c r="G39" s="338">
        <f>G40-F40</f>
        <v>98500</v>
      </c>
      <c r="H39" s="290">
        <f>[1]!srEnewGas($C$12,H$22,$H$6,G39,$C$20)</f>
        <v>5.9561718474422332</v>
      </c>
      <c r="I39" s="291">
        <f>H39*$C$6</f>
        <v>500.31843518514756</v>
      </c>
      <c r="J39" s="290">
        <f>[1]!srE2LETt($C$10,H39,0)</f>
        <v>37.066915358761783</v>
      </c>
      <c r="K39" s="291">
        <f>[1]!srE2Rng($C$10,H39)</f>
        <v>60.787447977773354</v>
      </c>
      <c r="L39" s="292">
        <f>[1]!srE2Rng($C$11,H39)</f>
        <v>53.432926198144258</v>
      </c>
      <c r="M39" s="293">
        <f>[1]!srEnew($C$10,H39,H$9)</f>
        <v>4.372432406437877</v>
      </c>
      <c r="N39" s="291">
        <f>M39*$C$6</f>
        <v>367.28432214078168</v>
      </c>
      <c r="O39" s="294">
        <f>[1]!srE2LETt($C$10,M39,0)</f>
        <v>39.319888388872897</v>
      </c>
      <c r="P39" s="189"/>
      <c r="Q39" s="293">
        <f>(I41+I45*(G39-G41))-I39</f>
        <v>9.4348753025826682E-2</v>
      </c>
      <c r="R39" s="290">
        <f>(J41+J45*(G39-G41))-J39</f>
        <v>2.0240421354671412E-3</v>
      </c>
      <c r="S39" s="290">
        <f>(K41+K45*(G39-G41))-K39</f>
        <v>-8.6468283013374503E-4</v>
      </c>
      <c r="T39" s="294">
        <f>(L41+L45*(G39-G41))-L39</f>
        <v>-1.2172741030767043E-3</v>
      </c>
      <c r="U39" s="293">
        <f>(N41+N45*(G39-G41))-N39</f>
        <v>0.18452539107443044</v>
      </c>
      <c r="V39" s="294">
        <f>(O41+O45*(G39-G41))-O39</f>
        <v>2.6235150323408618E-2</v>
      </c>
    </row>
    <row r="40" spans="6:33">
      <c r="F40" s="8">
        <v>1000</v>
      </c>
      <c r="G40" s="338">
        <f>G41-F40</f>
        <v>99500</v>
      </c>
      <c r="H40" s="290">
        <f>[1]!srEnewGas($C$12,H$22,$H$6,G40,$C$20)</f>
        <v>5.7725445455247613</v>
      </c>
      <c r="I40" s="291">
        <f>H40*$C$6</f>
        <v>484.89374182407994</v>
      </c>
      <c r="J40" s="290">
        <f>[1]!srE2LETt($C$10,H40,0)</f>
        <v>37.33941277440637</v>
      </c>
      <c r="K40" s="291">
        <f>[1]!srE2Rng($C$10,H40)</f>
        <v>59.01580156140438</v>
      </c>
      <c r="L40" s="292">
        <f>[1]!srE2Rng($C$11,H40)</f>
        <v>51.877289175867254</v>
      </c>
      <c r="M40" s="293">
        <f>[1]!srEnew($C$10,H40,H$9)</f>
        <v>4.1792911173692202</v>
      </c>
      <c r="N40" s="291">
        <f>M40*$C$6</f>
        <v>351.0604538590145</v>
      </c>
      <c r="O40" s="294">
        <f>[1]!srE2LETt($C$10,M40,0)</f>
        <v>39.568152510867812</v>
      </c>
      <c r="P40" s="189"/>
      <c r="Q40" s="293">
        <f>(I41+I45*(G40-G41))-I40</f>
        <v>4.3915060390645522E-2</v>
      </c>
      <c r="R40" s="290">
        <f>(J41+J45*(G40-G41))-J40</f>
        <v>1.0394326007769905E-3</v>
      </c>
      <c r="S40" s="290">
        <f>(K41+K45*(G40-G41))-K40</f>
        <v>-3.607016466986579E-4</v>
      </c>
      <c r="T40" s="294">
        <f>(L41+L45*(G40-G41))-L40</f>
        <v>-5.2321037596669839E-4</v>
      </c>
      <c r="U40" s="293">
        <f>(N41+N45*(G40-G41))-N40</f>
        <v>3.6970020253704661E-2</v>
      </c>
      <c r="V40" s="294">
        <f>(O41+O45*(G40-G41))-O40</f>
        <v>4.9092587303363189E-3</v>
      </c>
    </row>
    <row r="41" spans="6:33">
      <c r="G41" s="339">
        <f>$C$21*100</f>
        <v>100500</v>
      </c>
      <c r="H41" s="309">
        <f>[1]!srEnewGas($C$12,H$22,$H$6,G41,$C$20)</f>
        <v>5.5888396408424734</v>
      </c>
      <c r="I41" s="291">
        <f>H41*$C$6</f>
        <v>469.46252983076778</v>
      </c>
      <c r="J41" s="290">
        <f>[1]!srE2LETt($C$10,H41,0)</f>
        <v>37.61196501311705</v>
      </c>
      <c r="K41" s="291">
        <f>[1]!srE2Rng($C$10,H41)</f>
        <v>57.244298424572143</v>
      </c>
      <c r="L41" s="292">
        <f>[1]!srE2Rng($C$11,H41)</f>
        <v>50.321823006941393</v>
      </c>
      <c r="M41" s="293">
        <f>[1]!srEnew($C$10,H41,H$9)</f>
        <v>3.9848333360319086</v>
      </c>
      <c r="N41" s="291">
        <f>M41*$C$6</f>
        <v>334.7260002266803</v>
      </c>
      <c r="O41" s="294">
        <f>[1]!srE2LETt($C$10,M41,0)</f>
        <v>39.799999999999997</v>
      </c>
      <c r="P41" s="189"/>
      <c r="Q41" s="310" t="s">
        <v>167</v>
      </c>
      <c r="R41" s="311" t="s">
        <v>167</v>
      </c>
      <c r="S41" s="311" t="s">
        <v>167</v>
      </c>
      <c r="T41" s="312" t="s">
        <v>167</v>
      </c>
      <c r="U41" s="310" t="s">
        <v>167</v>
      </c>
      <c r="V41" s="312" t="s">
        <v>167</v>
      </c>
    </row>
    <row r="42" spans="6:33">
      <c r="G42" s="338">
        <f>G41+F40</f>
        <v>101500</v>
      </c>
      <c r="H42" s="290">
        <f>[1]!srEnewGas($C$12,H$22,$H$6,G42,$C$20)</f>
        <v>5.4051347361601847</v>
      </c>
      <c r="I42" s="291">
        <f>H42*$C$6</f>
        <v>454.0313178374555</v>
      </c>
      <c r="J42" s="290">
        <f>[1]!srE2LETt($C$10,H42,0)</f>
        <v>37.884517251827724</v>
      </c>
      <c r="K42" s="291">
        <f>[1]!srE2Rng($C$10,H42)</f>
        <v>55.472795287739892</v>
      </c>
      <c r="L42" s="292">
        <f>[1]!srE2Rng($C$11,H42)</f>
        <v>48.766356838015518</v>
      </c>
      <c r="M42" s="293">
        <f>[1]!srEnew($C$10,H42,H$9)</f>
        <v>3.7894006849391317</v>
      </c>
      <c r="N42" s="291">
        <f>M42*$C$6</f>
        <v>318.30965753488704</v>
      </c>
      <c r="O42" s="294">
        <f>[1]!srE2LETt($C$10,M42,0)</f>
        <v>40.021162104731701</v>
      </c>
      <c r="P42" s="189"/>
      <c r="Q42" s="293">
        <f>(I41+I45*(G42-G41))-I42</f>
        <v>-4.3915060390531835E-2</v>
      </c>
      <c r="R42" s="290">
        <f>(J41+J45*(G42-G41))-J42</f>
        <v>-1.0394326007698851E-3</v>
      </c>
      <c r="S42" s="290">
        <f>(K41+K45*(G42-G41))-K42</f>
        <v>3.6070164671286875E-4</v>
      </c>
      <c r="T42" s="294">
        <f>(L41+L45*(G42-G41))-L42</f>
        <v>5.2321037598090925E-4</v>
      </c>
      <c r="U42" s="293">
        <f>(N41+N45*(G42-G41))-N42</f>
        <v>4.4919039205353783E-2</v>
      </c>
      <c r="V42" s="294">
        <f>(O41+O45*(G42-G41))-O42</f>
        <v>5.7761256701454045E-3</v>
      </c>
    </row>
    <row r="43" spans="6:33">
      <c r="G43" s="340">
        <f>G42+F40</f>
        <v>102500</v>
      </c>
      <c r="H43" s="314">
        <f>[1]!srEnewGas($C$12,H$22,$H$6,G43,$C$20)</f>
        <v>5.2187382370231639</v>
      </c>
      <c r="I43" s="315">
        <f>H43*$C$6</f>
        <v>438.37401190994575</v>
      </c>
      <c r="J43" s="314">
        <f>[1]!srE2LETt($C$10,H43,0)</f>
        <v>38.151927150600606</v>
      </c>
      <c r="K43" s="315">
        <f>[1]!srE2Rng($C$10,H43)</f>
        <v>53.703238938677906</v>
      </c>
      <c r="L43" s="316">
        <f>[1]!srE2Rng($C$11,H43)</f>
        <v>47.213677574320656</v>
      </c>
      <c r="M43" s="317">
        <f>[1]!srEnew($C$10,H43,H$9)</f>
        <v>3.5928881195226889</v>
      </c>
      <c r="N43" s="315">
        <f>M43*$C$6</f>
        <v>301.80260203990588</v>
      </c>
      <c r="O43" s="318">
        <f>[1]!srE2LETt($C$10,M43,0)</f>
        <v>40.228074743950188</v>
      </c>
      <c r="P43" s="189"/>
      <c r="Q43" s="317">
        <f>(I41+I45*(G43-G41))-I43</f>
        <v>0.13826381341641536</v>
      </c>
      <c r="R43" s="314">
        <f>(J41+J45*(G43-G41))-J43</f>
        <v>3.0634747362441317E-3</v>
      </c>
      <c r="S43" s="314">
        <f>(K41+K45*(G43-G41))-K43</f>
        <v>-1.2253844768395084E-3</v>
      </c>
      <c r="T43" s="318">
        <f>(L41+L45*(G43-G41))-L43</f>
        <v>-1.7404844790505081E-3</v>
      </c>
      <c r="U43" s="317">
        <f>(N41+N45*(G43-G41))-N43</f>
        <v>0.18055088159860588</v>
      </c>
      <c r="V43" s="318">
        <f>(O41+O45*(G43-G41))-O43</f>
        <v>2.5801716853500523E-2</v>
      </c>
    </row>
    <row r="44" spans="6:33">
      <c r="G44" s="189"/>
      <c r="H44" s="189"/>
      <c r="I44" s="319" t="s">
        <v>191</v>
      </c>
      <c r="J44" s="320" t="s">
        <v>192</v>
      </c>
      <c r="K44" s="320" t="s">
        <v>193</v>
      </c>
      <c r="L44" s="321" t="s">
        <v>193</v>
      </c>
      <c r="M44" s="322"/>
      <c r="N44" s="319" t="s">
        <v>194</v>
      </c>
      <c r="O44" s="321" t="s">
        <v>195</v>
      </c>
      <c r="P44" s="189"/>
      <c r="Q44" s="189"/>
      <c r="R44" s="189"/>
      <c r="S44" s="189"/>
      <c r="T44" s="189"/>
      <c r="U44" s="189"/>
      <c r="V44" s="189"/>
    </row>
    <row r="45" spans="6:33">
      <c r="G45" s="189"/>
      <c r="H45" s="189" t="s">
        <v>178</v>
      </c>
      <c r="I45" s="341">
        <f>INDEX(LINEST(I39:I43,G39:G43),1)</f>
        <v>-1.5475127053702803E-2</v>
      </c>
      <c r="J45" s="342">
        <f>INDEX(LINEST(J39:J43,G39:G43),1)</f>
        <v>2.7151280610990014E-4</v>
      </c>
      <c r="K45" s="342">
        <f>INDEX(LINEST(K39:K43,G39:G43),1)</f>
        <v>-1.7711424351855381E-3</v>
      </c>
      <c r="L45" s="343">
        <f>INDEX(LINEST(L39:L43,G39:G43),1)</f>
        <v>-1.5549429585498937E-3</v>
      </c>
      <c r="M45" s="328"/>
      <c r="N45" s="341">
        <f>INDEX(LINEST(N39:N43,G39:G43),1)</f>
        <v>-1.6371423652587907E-2</v>
      </c>
      <c r="O45" s="343">
        <f>INDEX(LINEST(O39:O43,G39:G43),1)</f>
        <v>2.2693823040184706E-4</v>
      </c>
      <c r="P45" s="189"/>
      <c r="Q45" s="189"/>
      <c r="R45" s="189"/>
      <c r="S45" s="189"/>
      <c r="T45" s="189"/>
      <c r="U45" s="189"/>
      <c r="V45" s="189"/>
    </row>
    <row r="46" spans="6:33">
      <c r="G46" s="189"/>
      <c r="H46" s="189" t="s">
        <v>179</v>
      </c>
      <c r="I46" s="334">
        <f>INDEX(LINEST(I39:I43,G39:G43,,1),3)</f>
        <v>0.99999120854895385</v>
      </c>
      <c r="J46" s="335">
        <f>INDEX(LINEST(J39:J43,G39:G43,,1),3)</f>
        <v>0.99998580322416442</v>
      </c>
      <c r="K46" s="335">
        <f>INDEX(LINEST(K39:K43,G39:G43,,1),3)</f>
        <v>0.99999994785441759</v>
      </c>
      <c r="L46" s="336">
        <f>INDEX(LINEST(L39:L43,G39:G43,,1),3)</f>
        <v>0.99999986314799028</v>
      </c>
      <c r="M46" s="337"/>
      <c r="N46" s="334">
        <f>INDEX(LINEST(N39:N43,G39:G43,,1),3)</f>
        <v>0.99998877829640209</v>
      </c>
      <c r="O46" s="336">
        <f>INDEX(LINEST(O39:O43,G39:G43,,1),3)</f>
        <v>0.99878855997565807</v>
      </c>
      <c r="P46" s="189"/>
      <c r="Q46" s="189"/>
      <c r="R46" s="189"/>
      <c r="S46" s="189"/>
      <c r="T46" s="189"/>
      <c r="U46" s="189"/>
      <c r="V46" s="189"/>
    </row>
    <row r="47" spans="6:33">
      <c r="AG47" s="7"/>
    </row>
    <row r="48" spans="6:33">
      <c r="G48" s="260" t="s">
        <v>196</v>
      </c>
      <c r="AG48" s="7"/>
    </row>
    <row r="49" spans="6:33">
      <c r="G49" s="268" t="s">
        <v>197</v>
      </c>
      <c r="H49" s="274" t="s">
        <v>198</v>
      </c>
      <c r="I49" s="270"/>
      <c r="J49" s="271" t="s">
        <v>162</v>
      </c>
      <c r="K49" s="271" t="s">
        <v>199</v>
      </c>
      <c r="L49" s="272" t="s">
        <v>185</v>
      </c>
      <c r="M49" s="273" t="s">
        <v>146</v>
      </c>
      <c r="N49" s="274"/>
      <c r="O49" s="272" t="s">
        <v>147</v>
      </c>
      <c r="Q49" s="275"/>
      <c r="R49" s="271" t="s">
        <v>162</v>
      </c>
      <c r="S49" s="271" t="s">
        <v>183</v>
      </c>
      <c r="T49" s="272" t="s">
        <v>184</v>
      </c>
      <c r="U49" s="275"/>
      <c r="V49" s="272" t="s">
        <v>162</v>
      </c>
      <c r="AG49" s="7"/>
    </row>
    <row r="50" spans="6:33" ht="14.25" customHeight="1">
      <c r="G50" s="282" t="s">
        <v>200</v>
      </c>
      <c r="H50" s="136" t="s">
        <v>187</v>
      </c>
      <c r="I50" s="136" t="s">
        <v>112</v>
      </c>
      <c r="J50" s="283"/>
      <c r="K50" s="136" t="s">
        <v>188</v>
      </c>
      <c r="L50" s="138" t="s">
        <v>188</v>
      </c>
      <c r="M50" s="284" t="s">
        <v>187</v>
      </c>
      <c r="N50" s="136" t="s">
        <v>112</v>
      </c>
      <c r="O50" s="138"/>
      <c r="P50" s="9"/>
      <c r="Q50" s="284" t="s">
        <v>112</v>
      </c>
      <c r="R50" s="283"/>
      <c r="S50" s="136" t="s">
        <v>188</v>
      </c>
      <c r="T50" s="138" t="s">
        <v>188</v>
      </c>
      <c r="U50" s="284" t="s">
        <v>112</v>
      </c>
      <c r="V50" s="155"/>
      <c r="AG50" s="7"/>
    </row>
    <row r="51" spans="6:33" ht="14.25" customHeight="1">
      <c r="F51" s="8" t="s">
        <v>190</v>
      </c>
      <c r="G51" s="338">
        <f>G52-F52</f>
        <v>295</v>
      </c>
      <c r="H51" s="290">
        <f>[1]!srEnewGas($C$12,H$22,G51,$C$21*100,$C$20)</f>
        <v>6.1893121808702736</v>
      </c>
      <c r="I51" s="291">
        <f>H51*$C$6</f>
        <v>519.90222319310294</v>
      </c>
      <c r="J51" s="290">
        <f>[1]!srE2LETt($C$10,H51,0)</f>
        <v>36.717309492001363</v>
      </c>
      <c r="K51" s="291">
        <f>[1]!srE2Rng($C$10,H51)</f>
        <v>63.090501447508906</v>
      </c>
      <c r="L51" s="292">
        <f>[1]!srE2Rng($C$11,H51)</f>
        <v>55.457889878166846</v>
      </c>
      <c r="M51" s="293">
        <f>[1]!srEnew($C$10,H51,H$9)</f>
        <v>4.6217759497400044</v>
      </c>
      <c r="N51" s="291">
        <f>M51*$C$6</f>
        <v>388.22917977816036</v>
      </c>
      <c r="O51" s="294">
        <f>[1]!srE2LETt($C$10,M51,0)</f>
        <v>38.988951914025577</v>
      </c>
      <c r="P51" s="189"/>
      <c r="Q51" s="293">
        <f>(I53+I57*(G51-G53))-I51</f>
        <v>0.51707394224581549</v>
      </c>
      <c r="R51" s="290">
        <f>(J53+J57*(G51-G53))-J51</f>
        <v>4.1447858360044165E-3</v>
      </c>
      <c r="S51" s="290">
        <f>(K53+K57*(G51-G53))-K51</f>
        <v>-7.7204333323024343E-3</v>
      </c>
      <c r="T51" s="294">
        <f>(L53+L57*(G51-G53))-L51</f>
        <v>-9.7674694957632369E-3</v>
      </c>
      <c r="U51" s="293">
        <f>(N53+N57*(G51-G53))-N51</f>
        <v>0.43399961706279555</v>
      </c>
      <c r="V51" s="294">
        <f>(O53+O57*(G51-G53))-O51</f>
        <v>7.3867871528840112E-2</v>
      </c>
      <c r="AG51" s="7"/>
    </row>
    <row r="52" spans="6:33">
      <c r="F52" s="194">
        <v>5</v>
      </c>
      <c r="G52" s="338">
        <f>G53-F52</f>
        <v>300</v>
      </c>
      <c r="H52" s="290">
        <f>[1]!srEnewGas($C$12,H$22,G52,$C$21*100,$C$20)</f>
        <v>5.8915010001960804</v>
      </c>
      <c r="I52" s="291">
        <f>H52*$C$6</f>
        <v>494.88608401647076</v>
      </c>
      <c r="J52" s="290">
        <f>[1]!srE2LETt($C$10,H52,0)</f>
        <v>37.162924029667487</v>
      </c>
      <c r="K52" s="291">
        <f>[1]!srE2Rng($C$10,H52)</f>
        <v>60.162922445090842</v>
      </c>
      <c r="L52" s="292">
        <f>[1]!srE2Rng($C$11,H52)</f>
        <v>52.88451726886025</v>
      </c>
      <c r="M52" s="293">
        <f>[1]!srEnew($C$10,H52,H$9)</f>
        <v>4.3043479030493241</v>
      </c>
      <c r="N52" s="291">
        <f>M52*$C$6</f>
        <v>361.56522385614323</v>
      </c>
      <c r="O52" s="294">
        <f>[1]!srE2LETt($C$10,M52,0)</f>
        <v>39.407404318463747</v>
      </c>
      <c r="P52" s="189"/>
      <c r="Q52" s="293">
        <f>(I53+I57*(G52-G53))-I52</f>
        <v>5.4829466587477782E-2</v>
      </c>
      <c r="R52" s="290">
        <f>(J53+J57*(G52-G53))-J52</f>
        <v>3.7856158097184789E-3</v>
      </c>
      <c r="S52" s="290">
        <f>(K53+K57*(G52-G53))-K52</f>
        <v>6.172742835346412E-4</v>
      </c>
      <c r="T52" s="294">
        <f>(L53+L57*(G52-G53))-L52</f>
        <v>4.5543894599120449E-4</v>
      </c>
      <c r="U52" s="293">
        <f>(N53+N57*(G52-G53))-N52</f>
        <v>0.1293659548085202</v>
      </c>
      <c r="V52" s="294">
        <f>(O53+O57*(G52-G53))-O52</f>
        <v>2.4005574313456179E-2</v>
      </c>
      <c r="AG52" s="7"/>
    </row>
    <row r="53" spans="6:33">
      <c r="G53" s="339">
        <f>$H$6</f>
        <v>305</v>
      </c>
      <c r="H53" s="309">
        <f>[1]!srEnewGas($C$12,H$22,G53,$C$21*100,$C$20)</f>
        <v>5.5888396408424734</v>
      </c>
      <c r="I53" s="291">
        <f>H53*$C$6</f>
        <v>469.46252983076778</v>
      </c>
      <c r="J53" s="290">
        <f>[1]!srE2LETt($C$10,H53,0)</f>
        <v>37.61196501311705</v>
      </c>
      <c r="K53" s="291">
        <f>[1]!srE2Rng($C$10,H53)</f>
        <v>57.244298424572143</v>
      </c>
      <c r="L53" s="292">
        <f>[1]!srE2Rng($C$11,H53)</f>
        <v>50.321823006941393</v>
      </c>
      <c r="M53" s="293">
        <f>[1]!srEnew($C$10,H53,H$9)</f>
        <v>3.9848333360319086</v>
      </c>
      <c r="N53" s="291">
        <f>M53*$C$6</f>
        <v>334.7260002266803</v>
      </c>
      <c r="O53" s="294">
        <f>[1]!srE2LETt($C$10,M53,0)</f>
        <v>39.799999999999997</v>
      </c>
      <c r="P53" s="189"/>
      <c r="Q53" s="310" t="s">
        <v>167</v>
      </c>
      <c r="R53" s="311" t="s">
        <v>167</v>
      </c>
      <c r="S53" s="311" t="s">
        <v>167</v>
      </c>
      <c r="T53" s="312" t="s">
        <v>167</v>
      </c>
      <c r="U53" s="310" t="s">
        <v>167</v>
      </c>
      <c r="V53" s="312" t="s">
        <v>167</v>
      </c>
      <c r="AG53" s="7"/>
    </row>
    <row r="54" spans="6:33">
      <c r="G54" s="338">
        <f>G53+F52</f>
        <v>310</v>
      </c>
      <c r="H54" s="290">
        <f>[1]!srEnewGas($C$12,H$22,G54,$C$21*100,$C$20)</f>
        <v>5.2847708420969814</v>
      </c>
      <c r="I54" s="291">
        <f>H54*$C$6</f>
        <v>443.92075073614643</v>
      </c>
      <c r="J54" s="290">
        <f>[1]!srE2LETt($C$10,H54,0)</f>
        <v>38.058317058126349</v>
      </c>
      <c r="K54" s="291">
        <f>[1]!srE2Rng($C$10,H54)</f>
        <v>54.326692382742863</v>
      </c>
      <c r="L54" s="292">
        <f>[1]!srE2Rng($C$11,H54)</f>
        <v>47.760586022584043</v>
      </c>
      <c r="M54" s="293">
        <f>[1]!srEnew($C$10,H54,H$9)</f>
        <v>3.6621237987232216</v>
      </c>
      <c r="N54" s="291">
        <f>M54*$C$6</f>
        <v>307.61839909275062</v>
      </c>
      <c r="O54" s="294">
        <f>[1]!srE2LETt($C$10,M54,0)</f>
        <v>40.155174891052191</v>
      </c>
      <c r="P54" s="189"/>
      <c r="Q54" s="293">
        <f>(I53+I57*(G54-G53))-I54</f>
        <v>6.3395442330886453E-2</v>
      </c>
      <c r="R54" s="290">
        <f>(J53+J57*(G54-G53))-J54</f>
        <v>-1.0966773694534027E-3</v>
      </c>
      <c r="S54" s="290">
        <f>(K53+K57*(G54-G53))-K54</f>
        <v>-1.6352529729530829E-3</v>
      </c>
      <c r="T54" s="294">
        <f>(L53+L57*(G54-G53))-L54</f>
        <v>-1.9127165074976915E-3</v>
      </c>
      <c r="U54" s="293">
        <f>(N53+N57*(G54-G53))-N54</f>
        <v>0.13901154965822116</v>
      </c>
      <c r="V54" s="294">
        <f>(O53+O57*(G54-G53))-O54</f>
        <v>1.341521617059982E-2</v>
      </c>
      <c r="AG54" s="7"/>
    </row>
    <row r="55" spans="6:33">
      <c r="G55" s="340">
        <f>G54+F52</f>
        <v>315</v>
      </c>
      <c r="H55" s="314">
        <f>[1]!srEnewGas($C$12,H$22,G55,$C$21*100,$C$20)</f>
        <v>4.9761068044263412</v>
      </c>
      <c r="I55" s="315">
        <f>H55*$C$6</f>
        <v>417.99297157181269</v>
      </c>
      <c r="J55" s="314">
        <f>[1]!srE2LETt($C$10,H55,0)</f>
        <v>38.495889815971147</v>
      </c>
      <c r="K55" s="315">
        <f>[1]!srE2Rng($C$10,H55)</f>
        <v>51.412410004671742</v>
      </c>
      <c r="L55" s="316">
        <f>[1]!srE2Rng($C$11,H55)</f>
        <v>45.204106996980727</v>
      </c>
      <c r="M55" s="317">
        <f>[1]!srEnew($C$10,H55,H$9)</f>
        <v>3.3376148123630887</v>
      </c>
      <c r="N55" s="315">
        <f>M55*$C$6</f>
        <v>280.35964423849947</v>
      </c>
      <c r="O55" s="318">
        <f>[1]!srE2LETt($C$10,M55,0)</f>
        <v>40.458017163845312</v>
      </c>
      <c r="P55" s="189"/>
      <c r="Q55" s="317">
        <f>(I53+I57*(G55-G53))-I55</f>
        <v>0.51279095437411115</v>
      </c>
      <c r="R55" s="314">
        <f>(J53+J57*(G55-G53))-J55</f>
        <v>6.5859324255868046E-3</v>
      </c>
      <c r="S55" s="314">
        <f>(K53+K57*(G55-G53))-K55</f>
        <v>-6.5941697040585723E-3</v>
      </c>
      <c r="T55" s="318">
        <f>(L53+L57*(G55-G53))-L55</f>
        <v>-8.5833917690223416E-3</v>
      </c>
      <c r="U55" s="317">
        <f>(N53+N57*(G55-G53))-N55</f>
        <v>0.42917681963797349</v>
      </c>
      <c r="V55" s="318">
        <f>(O53+O57*(G55-G53))-O55</f>
        <v>7.9163050600264739E-2</v>
      </c>
      <c r="AG55" s="7"/>
    </row>
    <row r="56" spans="6:33">
      <c r="G56" s="189"/>
      <c r="H56" s="189"/>
      <c r="I56" s="319" t="s">
        <v>169</v>
      </c>
      <c r="J56" s="320" t="s">
        <v>170</v>
      </c>
      <c r="K56" s="320" t="s">
        <v>171</v>
      </c>
      <c r="L56" s="321" t="s">
        <v>171</v>
      </c>
      <c r="M56" s="322"/>
      <c r="N56" s="319" t="s">
        <v>169</v>
      </c>
      <c r="O56" s="321" t="s">
        <v>170</v>
      </c>
      <c r="P56" s="189"/>
      <c r="Q56" s="189"/>
      <c r="R56" s="189"/>
      <c r="S56" s="189"/>
      <c r="T56" s="189"/>
      <c r="U56" s="189"/>
      <c r="V56" s="189"/>
      <c r="AG56" s="7"/>
    </row>
    <row r="57" spans="6:33">
      <c r="G57" s="189"/>
      <c r="H57" s="189" t="s">
        <v>178</v>
      </c>
      <c r="I57" s="327">
        <f>INDEX(LINEST(I51:I55,G51:G55),1)</f>
        <v>-5.095676730458095</v>
      </c>
      <c r="J57" s="328">
        <f>INDEX(LINEST(J51:J55,G51:G55),1)</f>
        <v>8.9051073527968608E-2</v>
      </c>
      <c r="K57" s="328">
        <f>INDEX(LINEST(K51:K55,G51:G55),1)</f>
        <v>-0.58384825896044612</v>
      </c>
      <c r="L57" s="329">
        <f>INDEX(LINEST(L51:L55,G51:G55),1)</f>
        <v>-0.51262994017296903</v>
      </c>
      <c r="M57" s="328"/>
      <c r="N57" s="327">
        <f>INDEX(LINEST(N51:N55,G51:G55),1)</f>
        <v>-5.3937179168542873</v>
      </c>
      <c r="O57" s="329">
        <f>INDEX(LINEST(O51:O55,G51:G55),1)</f>
        <v>7.371802144455826E-2</v>
      </c>
      <c r="P57" s="189"/>
      <c r="Q57" s="189"/>
      <c r="R57" s="189"/>
      <c r="S57" s="189"/>
      <c r="T57" s="189"/>
      <c r="U57" s="189"/>
      <c r="V57" s="189"/>
      <c r="AG57" s="7"/>
    </row>
    <row r="58" spans="6:33">
      <c r="G58" s="189"/>
      <c r="H58" s="189" t="s">
        <v>179</v>
      </c>
      <c r="I58" s="334">
        <f>INDEX(LINEST(I51:I55,G51:G55,,1),3)</f>
        <v>0.99995783524231407</v>
      </c>
      <c r="J58" s="335">
        <f>INDEX(LINEST(J51:J55,G51:G55,,1),3)</f>
        <v>0.99997978884067329</v>
      </c>
      <c r="K58" s="335">
        <f>INDEX(LINEST(K51:K55,G51:G55,,1),3)</f>
        <v>0.99999930619806132</v>
      </c>
      <c r="L58" s="336">
        <f>INDEX(LINEST(L51:L55,G51:G55,,1),3)</f>
        <v>0.99999856202183024</v>
      </c>
      <c r="M58" s="337"/>
      <c r="N58" s="334">
        <f>INDEX(LINEST(N51:N55,G51:G55,,1),3)</f>
        <v>0.99997902913560888</v>
      </c>
      <c r="O58" s="336">
        <f>INDEX(LINEST(O51:O55,G51:G55,,1),3)</f>
        <v>0.9961687413692194</v>
      </c>
      <c r="P58" s="189"/>
      <c r="Q58" s="189"/>
      <c r="R58" s="189"/>
      <c r="S58" s="189"/>
      <c r="T58" s="189"/>
      <c r="U58" s="189"/>
      <c r="V58" s="189"/>
      <c r="AG58" s="7"/>
    </row>
    <row r="59" spans="6:33">
      <c r="AG59" s="7"/>
    </row>
    <row r="60" spans="6:33">
      <c r="G60" s="260" t="s">
        <v>201</v>
      </c>
      <c r="AG60" s="7"/>
    </row>
    <row r="61" spans="6:33">
      <c r="G61" s="268" t="s">
        <v>202</v>
      </c>
      <c r="H61" s="274" t="s">
        <v>203</v>
      </c>
      <c r="I61" s="270"/>
      <c r="J61" s="271" t="s">
        <v>162</v>
      </c>
      <c r="K61" s="271" t="s">
        <v>199</v>
      </c>
      <c r="L61" s="272" t="s">
        <v>184</v>
      </c>
      <c r="M61" s="273" t="s">
        <v>146</v>
      </c>
      <c r="N61" s="274"/>
      <c r="O61" s="272" t="s">
        <v>147</v>
      </c>
      <c r="Q61" s="275"/>
      <c r="R61" s="271" t="s">
        <v>162</v>
      </c>
      <c r="S61" s="271" t="s">
        <v>183</v>
      </c>
      <c r="T61" s="272" t="s">
        <v>185</v>
      </c>
      <c r="U61" s="275"/>
      <c r="V61" s="272" t="s">
        <v>162</v>
      </c>
      <c r="AG61" s="7"/>
    </row>
    <row r="62" spans="6:33">
      <c r="G62" s="282" t="s">
        <v>112</v>
      </c>
      <c r="H62" s="136" t="s">
        <v>187</v>
      </c>
      <c r="I62" s="136" t="s">
        <v>189</v>
      </c>
      <c r="J62" s="283"/>
      <c r="K62" s="136" t="s">
        <v>204</v>
      </c>
      <c r="L62" s="138" t="s">
        <v>188</v>
      </c>
      <c r="M62" s="284" t="s">
        <v>187</v>
      </c>
      <c r="N62" s="136" t="s">
        <v>112</v>
      </c>
      <c r="O62" s="138"/>
      <c r="P62" s="9"/>
      <c r="Q62" s="284"/>
      <c r="R62" s="283"/>
      <c r="S62" s="136" t="s">
        <v>188</v>
      </c>
      <c r="T62" s="138" t="s">
        <v>188</v>
      </c>
      <c r="U62" s="284"/>
      <c r="V62" s="155"/>
      <c r="AG62" s="7"/>
    </row>
    <row r="63" spans="6:33">
      <c r="F63" s="8" t="s">
        <v>190</v>
      </c>
      <c r="G63" s="289">
        <f>G64-F64</f>
        <v>449.46252983076783</v>
      </c>
      <c r="H63" s="290">
        <f>G63/$C$6</f>
        <v>5.3507444027472362</v>
      </c>
      <c r="I63" s="291"/>
      <c r="J63" s="290">
        <f>[1]!srE2LETt($C$10,H63,0)</f>
        <v>37.964790669058061</v>
      </c>
      <c r="K63" s="291">
        <f>[1]!srE2Rng($C$10,H63)</f>
        <v>54.94958835297831</v>
      </c>
      <c r="L63" s="292">
        <f>[1]!srE2Rng($C$11,H63)</f>
        <v>48.307005441313713</v>
      </c>
      <c r="M63" s="293">
        <f>[1]!srEnew($C$10,H63,H$9)</f>
        <v>3.7312975694050188</v>
      </c>
      <c r="N63" s="291">
        <f>M63*$C$6</f>
        <v>313.42899583002156</v>
      </c>
      <c r="O63" s="294">
        <f>[1]!srE2LETt($C$10,M63,0)</f>
        <v>40.082340223069849</v>
      </c>
      <c r="P63" s="189"/>
      <c r="Q63" s="293"/>
      <c r="R63" s="290">
        <f>(J65+J69*(G63-G65))-J63</f>
        <v>2.5340643538385166E-4</v>
      </c>
      <c r="S63" s="290">
        <f>(K65+K69*(G63-G65))-K63</f>
        <v>-7.7395704369820351E-4</v>
      </c>
      <c r="T63" s="294">
        <f>(L65+L69*(G63-G65))-L63</f>
        <v>-7.0946062338350657E-4</v>
      </c>
      <c r="U63" s="293"/>
      <c r="V63" s="294">
        <f>(O65+O69*(G63-G65))-O63</f>
        <v>1.2286168590833313E-2</v>
      </c>
      <c r="AG63" s="7"/>
    </row>
    <row r="64" spans="6:33">
      <c r="F64" s="194">
        <v>10</v>
      </c>
      <c r="G64" s="289">
        <f>G65-F64</f>
        <v>459.46252983076783</v>
      </c>
      <c r="H64" s="290">
        <f>G64/$C$6</f>
        <v>5.4697920217948548</v>
      </c>
      <c r="I64" s="291"/>
      <c r="J64" s="290">
        <f>[1]!srE2LETt($C$10,H64,0)</f>
        <v>37.788589013117047</v>
      </c>
      <c r="K64" s="291">
        <f>[1]!srE2Rng($C$10,H64)</f>
        <v>56.096298424572147</v>
      </c>
      <c r="L64" s="292">
        <f>[1]!srE2Rng($C$11,H64)</f>
        <v>49.313823006941398</v>
      </c>
      <c r="M64" s="293">
        <f>[1]!srEnew($C$10,H64,H$9)</f>
        <v>3.8586418826150664</v>
      </c>
      <c r="N64" s="291">
        <f>M64*$C$6</f>
        <v>324.1259181396656</v>
      </c>
      <c r="O64" s="294">
        <f>[1]!srE2LETt($C$10,M64,0)</f>
        <v>39.948256441302924</v>
      </c>
      <c r="P64" s="189"/>
      <c r="Q64" s="293"/>
      <c r="R64" s="290">
        <f>(J65+J69*(G64-G65))-J64</f>
        <v>-8.4468811799354171E-5</v>
      </c>
      <c r="S64" s="290">
        <f>(K65+K69*(G64-G65))-K64</f>
        <v>2.5798568123747145E-4</v>
      </c>
      <c r="T64" s="294">
        <f>(L65+L69*(G64-G65))-L64</f>
        <v>2.3648687446353733E-4</v>
      </c>
      <c r="U64" s="293"/>
      <c r="V64" s="294">
        <f>(O65+O69*(G64-G65))-O64</f>
        <v>-9.4324547258395341E-4</v>
      </c>
      <c r="AG64" s="7"/>
    </row>
    <row r="65" spans="7:33">
      <c r="G65" s="344">
        <f>H$17</f>
        <v>469.46252983076783</v>
      </c>
      <c r="H65" s="309">
        <f>G65/$C$6</f>
        <v>5.5888396408424743</v>
      </c>
      <c r="I65" s="291"/>
      <c r="J65" s="290">
        <f>[1]!srE2LETt($C$10,H65,0)</f>
        <v>37.611965013117043</v>
      </c>
      <c r="K65" s="291">
        <f>[1]!srE2Rng($C$10,H65)</f>
        <v>57.24429842457215</v>
      </c>
      <c r="L65" s="292">
        <f>[1]!srE2Rng($C$11,H65)</f>
        <v>50.321823006941401</v>
      </c>
      <c r="M65" s="293">
        <f>[1]!srEnew($C$10,H65,H$9)</f>
        <v>3.9848333360319095</v>
      </c>
      <c r="N65" s="291">
        <f>M65*$C$6</f>
        <v>334.72600022668041</v>
      </c>
      <c r="O65" s="294">
        <f>[1]!srE2LETt($C$10,M65,0)</f>
        <v>39.799999999999997</v>
      </c>
      <c r="P65" s="189"/>
      <c r="Q65" s="310"/>
      <c r="R65" s="311" t="s">
        <v>167</v>
      </c>
      <c r="S65" s="311" t="s">
        <v>167</v>
      </c>
      <c r="T65" s="312" t="s">
        <v>167</v>
      </c>
      <c r="U65" s="310"/>
      <c r="V65" s="312" t="s">
        <v>167</v>
      </c>
      <c r="AG65" s="7"/>
    </row>
    <row r="66" spans="7:33">
      <c r="G66" s="289">
        <f>G65+F64</f>
        <v>479.46252983076783</v>
      </c>
      <c r="H66" s="290">
        <f>G66/$C$6</f>
        <v>5.7078872598900929</v>
      </c>
      <c r="I66" s="291"/>
      <c r="J66" s="290">
        <f>[1]!srE2LETt($C$10,H66,0)</f>
        <v>37.435341013117046</v>
      </c>
      <c r="K66" s="291">
        <f>[1]!srE2Rng($C$10,H66)</f>
        <v>58.392298424572147</v>
      </c>
      <c r="L66" s="292">
        <f>[1]!srE2Rng($C$11,H66)</f>
        <v>51.329823006941396</v>
      </c>
      <c r="M66" s="293">
        <f>[1]!srEnew($C$10,H66,H$9)</f>
        <v>4.1109095967945164</v>
      </c>
      <c r="N66" s="291">
        <f>M66*$C$6</f>
        <v>345.31640613073938</v>
      </c>
      <c r="O66" s="294">
        <f>[1]!srE2LETt($C$10,M66,0)</f>
        <v>39.650497357933574</v>
      </c>
      <c r="P66" s="189"/>
      <c r="Q66" s="293"/>
      <c r="R66" s="290">
        <f>(J65+J69*(G66-G65))-J66</f>
        <v>8.4468811792248744E-5</v>
      </c>
      <c r="S66" s="290">
        <f>(K65+K69*(G66-G65))-K66</f>
        <v>-2.5798568123036603E-4</v>
      </c>
      <c r="T66" s="294">
        <f>(L65+L69*(G66-G65))-L66</f>
        <v>-2.3648687445643191E-4</v>
      </c>
      <c r="U66" s="293"/>
      <c r="V66" s="294">
        <f>(O65+O69*(G66-G65))-O66</f>
        <v>2.1894462360805278E-3</v>
      </c>
      <c r="AG66" s="7"/>
    </row>
    <row r="67" spans="7:33">
      <c r="G67" s="313">
        <f>G66+F64</f>
        <v>489.46252983076783</v>
      </c>
      <c r="H67" s="314">
        <f>G67/$C$6</f>
        <v>5.8269348789377124</v>
      </c>
      <c r="I67" s="315"/>
      <c r="J67" s="314">
        <f>[1]!srE2LETt($C$10,H67,0)</f>
        <v>37.25871701311705</v>
      </c>
      <c r="K67" s="315">
        <f>[1]!srE2Rng($C$10,H67)</f>
        <v>59.54029842457215</v>
      </c>
      <c r="L67" s="316">
        <f>[1]!srE2Rng($C$11,H67)</f>
        <v>52.337823006941399</v>
      </c>
      <c r="M67" s="317">
        <f>[1]!srEnew($C$10,H67,H$9)</f>
        <v>4.2364706986495024</v>
      </c>
      <c r="N67" s="315">
        <f>M67*$C$6</f>
        <v>355.86353868655823</v>
      </c>
      <c r="O67" s="318">
        <f>[1]!srE2LETt($C$10,M67,0)</f>
        <v>39.494653785602807</v>
      </c>
      <c r="P67" s="189"/>
      <c r="Q67" s="317"/>
      <c r="R67" s="314">
        <f>(J65+J69*(G67-G65))-J67</f>
        <v>1.6893762359160291E-4</v>
      </c>
      <c r="S67" s="314">
        <f>(K65+K69*(G67-G65))-K67</f>
        <v>-5.1597136246073205E-4</v>
      </c>
      <c r="T67" s="318">
        <f>(L65+L69*(G67-G65))-L67</f>
        <v>-4.7297374892707467E-4</v>
      </c>
      <c r="U67" s="317"/>
      <c r="V67" s="318">
        <f>(O65+O69*(G67-G65))-O67</f>
        <v>1.0719822736504625E-2</v>
      </c>
      <c r="AG67" s="7"/>
    </row>
    <row r="68" spans="7:33">
      <c r="G68" s="189"/>
      <c r="H68" s="189"/>
      <c r="I68" s="319"/>
      <c r="J68" s="320" t="s">
        <v>176</v>
      </c>
      <c r="K68" s="320" t="s">
        <v>177</v>
      </c>
      <c r="L68" s="321" t="s">
        <v>177</v>
      </c>
      <c r="M68" s="322"/>
      <c r="N68" s="322"/>
      <c r="O68" s="320" t="s">
        <v>176</v>
      </c>
      <c r="P68" s="189"/>
      <c r="Q68" s="189"/>
      <c r="R68" s="189"/>
      <c r="S68" s="189"/>
      <c r="T68" s="189"/>
      <c r="U68" s="189"/>
      <c r="V68" s="189"/>
      <c r="AG68" s="7"/>
    </row>
    <row r="69" spans="7:33">
      <c r="G69" s="189"/>
      <c r="H69" s="189" t="s">
        <v>178</v>
      </c>
      <c r="I69" s="327"/>
      <c r="J69" s="328">
        <f>INDEX(LINEST(J63:J67,G63:G67),1)</f>
        <v>-1.7653953118820238E-2</v>
      </c>
      <c r="K69" s="328">
        <f>INDEX(LINEST(K63:K67,G63:G67),1)</f>
        <v>0.11477420143187679</v>
      </c>
      <c r="L69" s="329">
        <f>INDEX(LINEST(L63:L67,G63:G67),1)</f>
        <v>0.10077635131255368</v>
      </c>
      <c r="M69" s="328"/>
      <c r="N69" s="328"/>
      <c r="O69" s="345">
        <f>INDEX(LINEST(O63:O67,G63:G67),1)</f>
        <v>-1.4731319583034334E-2</v>
      </c>
      <c r="P69" s="189"/>
      <c r="Q69" s="189"/>
      <c r="R69" s="189"/>
      <c r="S69" s="189"/>
      <c r="T69" s="189"/>
      <c r="U69" s="189"/>
      <c r="V69" s="189"/>
      <c r="AG69" s="7"/>
    </row>
    <row r="70" spans="7:33">
      <c r="G70" s="189"/>
      <c r="H70" s="189" t="s">
        <v>205</v>
      </c>
      <c r="I70" s="334"/>
      <c r="J70" s="335">
        <f>INDEX(LINEST(J63:J67,G63:G67,,1),3)</f>
        <v>0.99999977106682414</v>
      </c>
      <c r="K70" s="335">
        <f>INDEX(LINEST(K63:K67,G63:G67,,1),3)</f>
        <v>0.99999994947543025</v>
      </c>
      <c r="L70" s="336">
        <f>INDEX(LINEST(L63:L67,G63:G67,,1),3)</f>
        <v>0.9999999449323177</v>
      </c>
      <c r="M70" s="337"/>
      <c r="N70" s="337"/>
      <c r="O70" s="346">
        <f>INDEX(LINEST(O63:O67,G63:G67,,1),3)</f>
        <v>0.99929125931373119</v>
      </c>
      <c r="P70" s="189"/>
      <c r="Q70" s="189"/>
      <c r="R70" s="189"/>
      <c r="S70" s="189"/>
      <c r="T70" s="189"/>
      <c r="U70" s="189"/>
      <c r="V70" s="189"/>
      <c r="Y70" s="7"/>
      <c r="Z70" s="7"/>
      <c r="AA70" s="7"/>
      <c r="AB70" s="7"/>
      <c r="AC70" s="7"/>
      <c r="AD70" s="7"/>
      <c r="AE70" s="7"/>
      <c r="AF70" s="7"/>
      <c r="AG70" s="7"/>
    </row>
    <row r="71" spans="7:33">
      <c r="Y71" s="7"/>
      <c r="Z71" s="7"/>
      <c r="AA71" s="7"/>
      <c r="AB71" s="7"/>
      <c r="AC71" s="7"/>
      <c r="AD71" s="7"/>
      <c r="AE71" s="7"/>
      <c r="AF71" s="7"/>
      <c r="AG71" s="7"/>
    </row>
    <row r="72" spans="7:33">
      <c r="Y72" s="7"/>
      <c r="Z72" s="7"/>
      <c r="AA72" s="7"/>
      <c r="AB72" s="7"/>
      <c r="AC72" s="7"/>
      <c r="AD72" s="7"/>
      <c r="AE72" s="7"/>
      <c r="AF72" s="7"/>
      <c r="AG72" s="7"/>
    </row>
    <row r="73" spans="7:33">
      <c r="Y73" s="7"/>
      <c r="Z73" s="7"/>
      <c r="AA73" s="7"/>
      <c r="AB73" s="7"/>
      <c r="AC73" s="7"/>
      <c r="AD73" s="7"/>
      <c r="AE73" s="7"/>
      <c r="AF73" s="7"/>
      <c r="AG73" s="7"/>
    </row>
    <row r="74" spans="7:33">
      <c r="Y74" s="7"/>
      <c r="Z74" s="7"/>
      <c r="AA74" s="7"/>
      <c r="AB74" s="7"/>
      <c r="AC74" s="7"/>
      <c r="AD74" s="7"/>
      <c r="AE74" s="7"/>
      <c r="AF74" s="7"/>
      <c r="AG74" s="7"/>
    </row>
    <row r="75" spans="7:33">
      <c r="Y75" s="7"/>
      <c r="Z75" s="7"/>
      <c r="AA75" s="7"/>
      <c r="AB75" s="7"/>
      <c r="AC75" s="7"/>
      <c r="AD75" s="7"/>
      <c r="AE75" s="7"/>
      <c r="AF75" s="7"/>
      <c r="AG75" s="7"/>
    </row>
    <row r="76" spans="7:33">
      <c r="Y76" s="7"/>
      <c r="Z76" s="7"/>
      <c r="AA76" s="7"/>
      <c r="AB76" s="7"/>
      <c r="AC76" s="7"/>
      <c r="AD76" s="7"/>
      <c r="AE76" s="7"/>
      <c r="AF76" s="7"/>
      <c r="AG76" s="7"/>
    </row>
    <row r="77" spans="7:33">
      <c r="Y77" s="7"/>
      <c r="Z77" s="7"/>
      <c r="AA77" s="7"/>
      <c r="AB77" s="7"/>
      <c r="AC77" s="7"/>
      <c r="AD77" s="7"/>
      <c r="AE77" s="7"/>
      <c r="AF77" s="7"/>
      <c r="AG77" s="7"/>
    </row>
    <row r="78" spans="7:33">
      <c r="Y78" s="7"/>
      <c r="Z78" s="7"/>
      <c r="AA78" s="7"/>
      <c r="AB78" s="7"/>
      <c r="AC78" s="7"/>
      <c r="AD78" s="7"/>
      <c r="AE78" s="7"/>
      <c r="AF78" s="7"/>
      <c r="AG78" s="7"/>
    </row>
    <row r="79" spans="7:33">
      <c r="Y79" s="7"/>
      <c r="Z79" s="7"/>
      <c r="AA79" s="7"/>
      <c r="AB79" s="7"/>
      <c r="AC79" s="7"/>
      <c r="AD79" s="7"/>
      <c r="AE79" s="7"/>
      <c r="AF79" s="7"/>
      <c r="AG79" s="7"/>
    </row>
    <row r="80" spans="7:33">
      <c r="Y80" s="7"/>
      <c r="Z80" s="7"/>
      <c r="AA80" s="7"/>
      <c r="AB80" s="7"/>
      <c r="AC80" s="7"/>
      <c r="AD80" s="7"/>
      <c r="AE80" s="7"/>
      <c r="AF80" s="7"/>
      <c r="AG80" s="7"/>
    </row>
    <row r="81" spans="25:33" ht="14.25">
      <c r="Y81" s="7"/>
      <c r="Z81" s="347"/>
      <c r="AA81" s="7"/>
      <c r="AB81" s="7"/>
      <c r="AC81" s="7"/>
      <c r="AD81" s="176"/>
      <c r="AE81" s="362"/>
      <c r="AF81" s="362"/>
      <c r="AG81" s="7"/>
    </row>
    <row r="82" spans="25:33" ht="14.25">
      <c r="Y82" s="7"/>
      <c r="Z82" s="347"/>
      <c r="AA82" s="363"/>
      <c r="AB82" s="363"/>
      <c r="AC82" s="363"/>
      <c r="AD82" s="363"/>
      <c r="AE82" s="348"/>
      <c r="AF82" s="7"/>
      <c r="AG82" s="7"/>
    </row>
    <row r="83" spans="25:33">
      <c r="Y83" s="7"/>
      <c r="Z83" s="7"/>
      <c r="AA83" s="83"/>
      <c r="AB83" s="83"/>
      <c r="AC83" s="83"/>
      <c r="AD83" s="83"/>
      <c r="AE83" s="83"/>
      <c r="AF83" s="83"/>
      <c r="AG83" s="7"/>
    </row>
    <row r="84" spans="25:33">
      <c r="Y84" s="7"/>
      <c r="Z84" s="7"/>
      <c r="AA84" s="20"/>
      <c r="AB84" s="83"/>
      <c r="AC84" s="83"/>
      <c r="AD84" s="83"/>
      <c r="AE84" s="20"/>
      <c r="AF84" s="83"/>
      <c r="AG84" s="7"/>
    </row>
    <row r="85" spans="25:33">
      <c r="Y85" s="7"/>
      <c r="Z85" s="7"/>
      <c r="AA85" s="349"/>
      <c r="AB85" s="350"/>
      <c r="AC85" s="351"/>
      <c r="AD85" s="351"/>
      <c r="AE85" s="349"/>
      <c r="AF85" s="350"/>
      <c r="AG85" s="7"/>
    </row>
    <row r="86" spans="25:33">
      <c r="Y86" s="7"/>
      <c r="Z86" s="7"/>
      <c r="AA86" s="352"/>
      <c r="AB86" s="353"/>
      <c r="AC86" s="354"/>
      <c r="AD86" s="354"/>
      <c r="AE86" s="352"/>
      <c r="AF86" s="355"/>
      <c r="AG86" s="7"/>
    </row>
    <row r="87" spans="25:33">
      <c r="Y87" s="356"/>
      <c r="Z87" s="7"/>
      <c r="AA87" s="351"/>
      <c r="AB87" s="351"/>
      <c r="AC87" s="351"/>
      <c r="AD87" s="351"/>
      <c r="AE87" s="351"/>
      <c r="AF87" s="351"/>
      <c r="AG87" s="7"/>
    </row>
    <row r="88" spans="25:33">
      <c r="Y88" s="7"/>
      <c r="Z88" s="7"/>
      <c r="AA88" s="55"/>
      <c r="AB88" s="55"/>
      <c r="AC88" s="55"/>
      <c r="AD88" s="55"/>
      <c r="AE88" s="55"/>
      <c r="AF88" s="55"/>
      <c r="AG88" s="7"/>
    </row>
    <row r="89" spans="25:33">
      <c r="Y89" s="356"/>
      <c r="Z89" s="7"/>
      <c r="AA89" s="54"/>
      <c r="AB89" s="54"/>
      <c r="AC89" s="54"/>
      <c r="AD89" s="54"/>
      <c r="AE89" s="54"/>
      <c r="AF89" s="54"/>
      <c r="AG89" s="7"/>
    </row>
    <row r="90" spans="25:33">
      <c r="Y90" s="7"/>
      <c r="Z90" s="7"/>
      <c r="AA90" s="55"/>
      <c r="AB90" s="55"/>
      <c r="AC90" s="55"/>
      <c r="AD90" s="55"/>
      <c r="AE90" s="55"/>
      <c r="AF90" s="55"/>
      <c r="AG90" s="7"/>
    </row>
    <row r="91" spans="25:33">
      <c r="Y91" s="356"/>
      <c r="Z91" s="7"/>
      <c r="AA91" s="54"/>
      <c r="AB91" s="54"/>
      <c r="AC91" s="54"/>
      <c r="AD91" s="54"/>
      <c r="AE91" s="54"/>
      <c r="AF91" s="54"/>
      <c r="AG91" s="7"/>
    </row>
    <row r="92" spans="25:33">
      <c r="Y92" s="7"/>
      <c r="Z92" s="7"/>
      <c r="AA92" s="55"/>
      <c r="AB92" s="55"/>
      <c r="AC92" s="55"/>
      <c r="AD92" s="55"/>
      <c r="AE92" s="55"/>
      <c r="AF92" s="55"/>
      <c r="AG92" s="7"/>
    </row>
    <row r="93" spans="25:33">
      <c r="Y93" s="356"/>
      <c r="Z93" s="7"/>
      <c r="AA93" s="7"/>
      <c r="AB93" s="54"/>
      <c r="AC93" s="54"/>
      <c r="AD93" s="54"/>
      <c r="AE93" s="7"/>
      <c r="AF93" s="54"/>
      <c r="AG93" s="7"/>
    </row>
    <row r="94" spans="25:33">
      <c r="Y94" s="7"/>
      <c r="Z94" s="7"/>
      <c r="AA94" s="357"/>
      <c r="AB94" s="55"/>
      <c r="AC94" s="55"/>
      <c r="AD94" s="55"/>
      <c r="AE94" s="357"/>
      <c r="AF94" s="55"/>
      <c r="AG94" s="7"/>
    </row>
  </sheetData>
  <mergeCells count="4">
    <mergeCell ref="AE20:AF20"/>
    <mergeCell ref="AA21:AD21"/>
    <mergeCell ref="AE81:AF81"/>
    <mergeCell ref="AA82:AD82"/>
  </mergeCells>
  <phoneticPr fontId="18"/>
  <pageMargins left="0.39370078740157483" right="0.23622047244094491" top="0.59055118110236227" bottom="0.59055118110236227" header="0.31496062992125984" footer="0.31496062992125984"/>
  <pageSetup paperSize="8" pageOrder="overThenDown" orientation="portrait" r:id="rId1"/>
  <colBreaks count="1" manualBreakCount="1">
    <brk id="23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BPkW_Si</vt:lpstr>
      <vt:lpstr>BPkW_Air</vt:lpstr>
      <vt:lpstr>LETcoef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ayoshida</cp:lastModifiedBy>
  <cp:lastPrinted>2017-03-16T00:04:41Z</cp:lastPrinted>
  <dcterms:created xsi:type="dcterms:W3CDTF">2008-11-07T05:47:18Z</dcterms:created>
  <dcterms:modified xsi:type="dcterms:W3CDTF">2017-05-27T05:45:24Z</dcterms:modified>
</cp:coreProperties>
</file>