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yoshida\Documents\__Today__\_AyLIB\_SRIMfit-AyLIB\180827-HP_AyLIB追加\Tips\SRIMfit\_programs\example\2 E5A用\"/>
    </mc:Choice>
  </mc:AlternateContent>
  <xr:revisionPtr revIDLastSave="0" documentId="10_ncr:8100000_{01287F66-CF98-4009-B177-2391BDE13776}" xr6:coauthVersionLast="34" xr6:coauthVersionMax="34" xr10:uidLastSave="{00000000-0000-0000-0000-000000000000}"/>
  <bookViews>
    <workbookView xWindow="650" yWindow="-20" windowWidth="26300" windowHeight="10490" tabRatio="659" xr2:uid="{00000000-000D-0000-FFFF-FFFF00000000}"/>
  </bookViews>
  <sheets>
    <sheet name="ビーム希望表" sheetId="199" r:id="rId1"/>
    <sheet name="LET範囲推定" sheetId="194" r:id="rId2"/>
  </sheets>
  <externalReferences>
    <externalReference r:id="rId3"/>
  </externalReferences>
  <calcPr calcId="162913" iterate="1" iterateCount="1000"/>
  <customWorkbookViews>
    <customWorkbookView name="view2" guid="{3AC4C5A4-CC01-4AA2-8975-95BDDCF33CBA}" xWindow="9" yWindow="76" windowWidth="1821" windowHeight="634" activeSheetId="80"/>
    <customWorkbookView name="view1" guid="{8A5D6D5C-C043-4E6B-AB9F-8AB531120421}" xWindow="9" yWindow="76" windowWidth="1821" windowHeight="634" activeSheetId="80"/>
  </customWorkbookViews>
</workbook>
</file>

<file path=xl/calcChain.xml><?xml version="1.0" encoding="utf-8"?>
<calcChain xmlns="http://schemas.openxmlformats.org/spreadsheetml/2006/main">
  <c r="AG38" i="194" l="1"/>
  <c r="Y38" i="194"/>
  <c r="Q38" i="194"/>
  <c r="I38" i="194"/>
  <c r="K13" i="199"/>
  <c r="H27" i="199" l="1"/>
  <c r="L24" i="199"/>
  <c r="H24" i="199"/>
  <c r="I24" i="199" s="1"/>
  <c r="L23" i="199"/>
  <c r="H23" i="199"/>
  <c r="I23" i="199" s="1"/>
  <c r="H22" i="199"/>
  <c r="I22" i="199" s="1"/>
  <c r="L21" i="199"/>
  <c r="H21" i="199"/>
  <c r="I21" i="199" s="1"/>
  <c r="L20" i="199"/>
  <c r="H20" i="199"/>
  <c r="I20" i="199" s="1"/>
  <c r="H19" i="199"/>
  <c r="I19" i="199" s="1"/>
  <c r="H18" i="199"/>
  <c r="I18" i="199" s="1"/>
  <c r="H17" i="199"/>
  <c r="I17" i="199" s="1"/>
  <c r="H16" i="199"/>
  <c r="N16" i="199" s="1"/>
  <c r="L18" i="199"/>
  <c r="L17" i="199"/>
  <c r="L15" i="199"/>
  <c r="L14" i="199"/>
  <c r="I15" i="199"/>
  <c r="I14" i="199"/>
  <c r="I13" i="199"/>
  <c r="N13" i="199"/>
  <c r="B15" i="199"/>
  <c r="K15" i="199"/>
  <c r="K19" i="199"/>
  <c r="K22" i="199"/>
  <c r="K21" i="199"/>
  <c r="M21" i="199"/>
  <c r="L33" i="199"/>
  <c r="K33" i="199" s="1"/>
  <c r="D19" i="199"/>
  <c r="K18" i="199"/>
  <c r="K23" i="199"/>
  <c r="K20" i="199"/>
  <c r="K16" i="199"/>
  <c r="M16" i="199" s="1"/>
  <c r="K17" i="199"/>
  <c r="B17" i="199"/>
  <c r="K24" i="199"/>
  <c r="D24" i="199" s="1"/>
  <c r="E24" i="199" s="1"/>
  <c r="M19" i="199"/>
  <c r="M22" i="199"/>
  <c r="B16" i="199"/>
  <c r="D22" i="199"/>
  <c r="E22" i="199" s="1"/>
  <c r="D15" i="199"/>
  <c r="D21" i="199"/>
  <c r="E15" i="199"/>
  <c r="F15" i="199"/>
  <c r="K14" i="199"/>
  <c r="M33" i="199"/>
  <c r="D20" i="199"/>
  <c r="F22" i="199"/>
  <c r="F19" i="199"/>
  <c r="D18" i="199"/>
  <c r="M18" i="199"/>
  <c r="M23" i="199"/>
  <c r="D23" i="199"/>
  <c r="M17" i="199"/>
  <c r="E21" i="199"/>
  <c r="F21" i="199"/>
  <c r="M14" i="199"/>
  <c r="D14" i="199"/>
  <c r="M13" i="199"/>
  <c r="D13" i="199"/>
  <c r="E20" i="199"/>
  <c r="F20" i="199"/>
  <c r="E18" i="199"/>
  <c r="F18" i="199"/>
  <c r="E23" i="199"/>
  <c r="F23" i="199"/>
  <c r="F14" i="199"/>
  <c r="E14" i="199"/>
  <c r="E13" i="199"/>
  <c r="F13" i="199"/>
  <c r="C60" i="199" l="1"/>
  <c r="N14" i="199"/>
  <c r="N15" i="199"/>
  <c r="N17" i="199"/>
  <c r="C61" i="199"/>
  <c r="N33" i="199"/>
  <c r="I33" i="199"/>
  <c r="N20" i="199"/>
  <c r="C57" i="199"/>
  <c r="C58" i="199"/>
  <c r="C59" i="199"/>
  <c r="N24" i="199"/>
  <c r="C22" i="199"/>
  <c r="J23" i="199"/>
  <c r="J24" i="199"/>
  <c r="J22" i="199"/>
  <c r="N22" i="199"/>
  <c r="N23" i="199"/>
  <c r="J13" i="199"/>
  <c r="N21" i="199"/>
  <c r="J20" i="199"/>
  <c r="J21" i="199"/>
  <c r="J19" i="199"/>
  <c r="N19" i="199"/>
  <c r="N18" i="199"/>
  <c r="I16" i="199"/>
  <c r="J16" i="199"/>
  <c r="J17" i="199"/>
  <c r="J18" i="199"/>
  <c r="J15" i="199"/>
  <c r="J14" i="199"/>
  <c r="S5" i="194"/>
  <c r="F24" i="199"/>
  <c r="M20" i="199"/>
  <c r="M24" i="199"/>
  <c r="M15" i="199"/>
  <c r="D33" i="199"/>
  <c r="D16" i="199"/>
  <c r="D17" i="199"/>
  <c r="F16" i="199"/>
  <c r="E19" i="199"/>
  <c r="Q13" i="194"/>
  <c r="R13" i="194"/>
  <c r="F33" i="199"/>
  <c r="E17" i="199"/>
  <c r="F17" i="199"/>
  <c r="C20" i="199" l="1"/>
  <c r="C13" i="199"/>
  <c r="C19" i="199"/>
  <c r="C14" i="199"/>
  <c r="C18" i="199"/>
  <c r="C21" i="199"/>
  <c r="C15" i="199"/>
  <c r="J33" i="199"/>
  <c r="C17" i="199"/>
  <c r="C23" i="199"/>
  <c r="C24" i="199"/>
  <c r="C16" i="199"/>
  <c r="E16" i="199"/>
  <c r="E33" i="199"/>
  <c r="C33" i="199" l="1"/>
  <c r="AI10" i="194"/>
  <c r="AF18" i="194"/>
  <c r="AI11" i="194"/>
  <c r="X18" i="194"/>
  <c r="AA10" i="194"/>
  <c r="P18" i="194"/>
  <c r="S11" i="194"/>
  <c r="H18" i="194"/>
  <c r="K10" i="194"/>
  <c r="K5" i="194"/>
  <c r="K11" i="194"/>
  <c r="S10" i="194"/>
  <c r="AA11" i="194"/>
  <c r="AA5" i="194"/>
  <c r="AA9" i="194"/>
  <c r="S9" i="194"/>
  <c r="K9" i="194"/>
  <c r="AI5" i="194"/>
  <c r="AI9" i="194"/>
  <c r="AA7" i="194"/>
  <c r="S7" i="194"/>
  <c r="K7" i="194"/>
  <c r="AI7" i="194"/>
  <c r="S6" i="194"/>
  <c r="K6" i="194"/>
  <c r="AI6" i="194"/>
  <c r="AA6" i="194"/>
  <c r="S8" i="194"/>
  <c r="K8" i="194"/>
  <c r="AI8" i="194"/>
  <c r="AA8" i="194"/>
  <c r="AG37" i="194"/>
  <c r="AG36" i="194"/>
  <c r="AG35" i="194"/>
  <c r="Y37" i="194"/>
  <c r="Y36" i="194"/>
  <c r="Y35" i="194"/>
  <c r="Q37" i="194"/>
  <c r="Q36" i="194"/>
  <c r="Q35" i="194"/>
  <c r="I37" i="194"/>
  <c r="I36" i="194"/>
  <c r="I35" i="194"/>
  <c r="F34" i="194"/>
  <c r="AA18" i="194"/>
  <c r="AI18" i="194"/>
  <c r="I18" i="194"/>
  <c r="AG33" i="194"/>
  <c r="AF33" i="194" s="1"/>
  <c r="AF29" i="194"/>
  <c r="AF30" i="194"/>
  <c r="AF32" i="194"/>
  <c r="AF31" i="194"/>
  <c r="I33" i="194"/>
  <c r="H33" i="194" s="1"/>
  <c r="H32" i="194"/>
  <c r="H31" i="194"/>
  <c r="H29" i="194"/>
  <c r="H30" i="194"/>
  <c r="AC18" i="194"/>
  <c r="R18" i="194"/>
  <c r="J13" i="194"/>
  <c r="I13" i="194"/>
  <c r="AH13" i="194"/>
  <c r="AG13" i="194"/>
  <c r="AG18" i="194"/>
  <c r="S18" i="194"/>
  <c r="U18" i="194"/>
  <c r="C15" i="194"/>
  <c r="Z18" i="194"/>
  <c r="H19" i="194"/>
  <c r="P29" i="194"/>
  <c r="P30" i="194"/>
  <c r="P32" i="194"/>
  <c r="P31" i="194"/>
  <c r="Q33" i="194"/>
  <c r="P33" i="194" s="1"/>
  <c r="Q18" i="194"/>
  <c r="AF19" i="194"/>
  <c r="AK18" i="194"/>
  <c r="M18" i="194"/>
  <c r="X32" i="194"/>
  <c r="X30" i="194"/>
  <c r="Y33" i="194"/>
  <c r="X33" i="194" s="1"/>
  <c r="X31" i="194"/>
  <c r="X29" i="194"/>
  <c r="AH18" i="194"/>
  <c r="J19" i="194"/>
  <c r="I19" i="194"/>
  <c r="J18" i="194"/>
  <c r="Y13" i="194"/>
  <c r="Z13" i="194"/>
  <c r="Y18" i="194"/>
  <c r="AG19" i="194"/>
  <c r="X19" i="194"/>
  <c r="K18" i="194"/>
  <c r="AI19" i="194"/>
  <c r="P19" i="194"/>
  <c r="AI33" i="194"/>
  <c r="AF39" i="194"/>
  <c r="AK33" i="194"/>
  <c r="AH33" i="194"/>
  <c r="AK29" i="194"/>
  <c r="AH29" i="194"/>
  <c r="AI29" i="194"/>
  <c r="AF35" i="194"/>
  <c r="AF36" i="194"/>
  <c r="AH30" i="194"/>
  <c r="AI30" i="194"/>
  <c r="AK30" i="194"/>
  <c r="AK32" i="194"/>
  <c r="AH32" i="194"/>
  <c r="AI32" i="194"/>
  <c r="AF38" i="194"/>
  <c r="AI31" i="194"/>
  <c r="AH31" i="194"/>
  <c r="AF37" i="194"/>
  <c r="AK31" i="194"/>
  <c r="K33" i="194"/>
  <c r="H39" i="194"/>
  <c r="M33" i="194"/>
  <c r="J33" i="194"/>
  <c r="H38" i="194"/>
  <c r="M32" i="194"/>
  <c r="K32" i="194"/>
  <c r="J32" i="194"/>
  <c r="K31" i="194"/>
  <c r="H37" i="194"/>
  <c r="M31" i="194"/>
  <c r="J31" i="194"/>
  <c r="K29" i="194"/>
  <c r="M29" i="194"/>
  <c r="H35" i="194"/>
  <c r="M30" i="194"/>
  <c r="H36" i="194"/>
  <c r="J30" i="194"/>
  <c r="K30" i="194"/>
  <c r="M19" i="194"/>
  <c r="H20" i="194"/>
  <c r="K19" i="194"/>
  <c r="S29" i="194"/>
  <c r="P35" i="194"/>
  <c r="R29" i="194"/>
  <c r="U29" i="194"/>
  <c r="S30" i="194"/>
  <c r="R30" i="194"/>
  <c r="U30" i="194"/>
  <c r="P36" i="194"/>
  <c r="R32" i="194"/>
  <c r="U32" i="194"/>
  <c r="P38" i="194"/>
  <c r="U31" i="194"/>
  <c r="R31" i="194"/>
  <c r="P37" i="194"/>
  <c r="S31" i="194"/>
  <c r="R33" i="194"/>
  <c r="S33" i="194"/>
  <c r="U33" i="194"/>
  <c r="P39" i="194"/>
  <c r="AH19" i="194"/>
  <c r="AF20" i="194"/>
  <c r="AK19" i="194"/>
  <c r="Z32" i="194"/>
  <c r="AA32" i="194"/>
  <c r="AC32" i="194"/>
  <c r="X38" i="194"/>
  <c r="AC30" i="194"/>
  <c r="X36" i="194"/>
  <c r="Z30" i="194"/>
  <c r="AA30" i="194"/>
  <c r="AA33" i="194"/>
  <c r="Z33" i="194"/>
  <c r="X39" i="194"/>
  <c r="AC33" i="194"/>
  <c r="Z31" i="194"/>
  <c r="AA31" i="194"/>
  <c r="X37" i="194"/>
  <c r="AC31" i="194"/>
  <c r="AC29" i="194"/>
  <c r="X35" i="194"/>
  <c r="AA29" i="194"/>
  <c r="Z29" i="194"/>
  <c r="AC19" i="194"/>
  <c r="Z19" i="194"/>
  <c r="X20" i="194"/>
  <c r="AA19" i="194"/>
  <c r="Y19" i="194"/>
  <c r="Q19" i="194"/>
  <c r="P20" i="194"/>
  <c r="R19" i="194"/>
  <c r="U19" i="194"/>
  <c r="S19" i="194"/>
  <c r="AI39" i="194"/>
  <c r="AH39" i="194"/>
  <c r="AK39" i="194"/>
  <c r="AH35" i="194"/>
  <c r="AK35" i="194"/>
  <c r="AI36" i="194"/>
  <c r="AH36" i="194"/>
  <c r="AK36" i="194"/>
  <c r="AH38" i="194"/>
  <c r="AK38" i="194"/>
  <c r="AI37" i="194"/>
  <c r="AH37" i="194"/>
  <c r="J39" i="194"/>
  <c r="K39" i="194"/>
  <c r="M39" i="194"/>
  <c r="J38" i="194"/>
  <c r="M38" i="194"/>
  <c r="K38" i="194"/>
  <c r="J37" i="194"/>
  <c r="K37" i="194"/>
  <c r="M37" i="194"/>
  <c r="M35" i="194"/>
  <c r="K35" i="194"/>
  <c r="M36" i="194"/>
  <c r="J36" i="194"/>
  <c r="K36" i="194"/>
  <c r="H21" i="194"/>
  <c r="K20" i="194"/>
  <c r="J20" i="194"/>
  <c r="I20" i="194"/>
  <c r="M20" i="194"/>
  <c r="U35" i="194"/>
  <c r="S35" i="194"/>
  <c r="R35" i="194"/>
  <c r="R36" i="194"/>
  <c r="S36" i="194"/>
  <c r="U36" i="194"/>
  <c r="R38" i="194"/>
  <c r="U38" i="194"/>
  <c r="S38" i="194"/>
  <c r="S37" i="194"/>
  <c r="U37" i="194"/>
  <c r="R37" i="194"/>
  <c r="R39" i="194"/>
  <c r="U39" i="194"/>
  <c r="AH20" i="194"/>
  <c r="AK20" i="194"/>
  <c r="AI20" i="194"/>
  <c r="AG20" i="194"/>
  <c r="AF21" i="194"/>
  <c r="AA38" i="194"/>
  <c r="AC38" i="194"/>
  <c r="AC36" i="194"/>
  <c r="Z36" i="194"/>
  <c r="AA36" i="194"/>
  <c r="AA39" i="194"/>
  <c r="Z39" i="194"/>
  <c r="AC39" i="194"/>
  <c r="AA37" i="194"/>
  <c r="AC37" i="194"/>
  <c r="Z37" i="194"/>
  <c r="Z35" i="194"/>
  <c r="AA35" i="194"/>
  <c r="AC35" i="194"/>
  <c r="AA20" i="194"/>
  <c r="AC20" i="194"/>
  <c r="Z20" i="194"/>
  <c r="X21" i="194"/>
  <c r="Y20" i="194"/>
  <c r="R20" i="194"/>
  <c r="Q20" i="194"/>
  <c r="P21" i="194"/>
  <c r="J21" i="194"/>
  <c r="K21" i="194"/>
  <c r="H22" i="194"/>
  <c r="M21" i="194"/>
  <c r="AG21" i="194"/>
  <c r="AF22" i="194"/>
  <c r="AH21" i="194"/>
  <c r="AK21" i="194"/>
  <c r="AI21" i="194"/>
  <c r="Z21" i="194"/>
  <c r="AC21" i="194"/>
  <c r="Y21" i="194"/>
  <c r="AA21" i="194"/>
  <c r="X22" i="194"/>
  <c r="U21" i="194"/>
  <c r="Q21" i="194"/>
  <c r="P22" i="194"/>
  <c r="R21" i="194"/>
  <c r="S21" i="194"/>
  <c r="H23" i="194"/>
  <c r="J22" i="194"/>
  <c r="K22" i="194"/>
  <c r="M22" i="194"/>
  <c r="I22" i="194"/>
  <c r="AH22" i="194"/>
  <c r="AG22" i="194"/>
  <c r="AF23" i="194"/>
  <c r="AK22" i="194"/>
  <c r="AI22" i="194"/>
  <c r="AC22" i="194"/>
  <c r="Y22" i="194"/>
  <c r="AA22" i="194"/>
  <c r="X23" i="194"/>
  <c r="Z22" i="194"/>
  <c r="R22" i="194"/>
  <c r="S22" i="194"/>
  <c r="U22" i="194"/>
  <c r="Q22" i="194"/>
  <c r="P23" i="194"/>
  <c r="J23" i="194"/>
  <c r="K23" i="194"/>
  <c r="M23" i="194"/>
  <c r="I23" i="194"/>
  <c r="H24" i="194"/>
  <c r="AF24" i="194"/>
  <c r="AG23" i="194"/>
  <c r="AK23" i="194"/>
  <c r="AH23" i="194"/>
  <c r="AI23" i="194"/>
  <c r="AC23" i="194"/>
  <c r="Y23" i="194"/>
  <c r="AA23" i="194"/>
  <c r="X24" i="194"/>
  <c r="Z23" i="194"/>
  <c r="P24" i="194"/>
  <c r="S23" i="194"/>
  <c r="Q23" i="194"/>
  <c r="R23" i="194"/>
  <c r="U23" i="194"/>
  <c r="H26" i="194"/>
  <c r="K24" i="194"/>
  <c r="I24" i="194"/>
  <c r="J24" i="194"/>
  <c r="M24" i="194"/>
  <c r="AK24" i="194"/>
  <c r="AF26" i="194"/>
  <c r="AH24" i="194"/>
  <c r="AG24" i="194"/>
  <c r="AI24" i="194"/>
  <c r="AA24" i="194"/>
  <c r="AC24" i="194"/>
  <c r="Y24" i="194"/>
  <c r="X26" i="194"/>
  <c r="Z24" i="194"/>
  <c r="Q24" i="194"/>
  <c r="P26" i="194"/>
  <c r="U24" i="194"/>
  <c r="S24" i="194"/>
  <c r="R24" i="194"/>
  <c r="J26" i="194"/>
  <c r="M26" i="194"/>
  <c r="H27" i="194"/>
  <c r="I26" i="194"/>
  <c r="K26" i="194"/>
  <c r="AI26" i="194"/>
  <c r="AK26" i="194"/>
  <c r="AH26" i="194"/>
  <c r="AG26" i="194"/>
  <c r="AF27" i="194"/>
  <c r="Z26" i="194"/>
  <c r="AC26" i="194"/>
  <c r="X27" i="194"/>
  <c r="Y26" i="194"/>
  <c r="AA26" i="194"/>
  <c r="S26" i="194"/>
  <c r="U26" i="194"/>
  <c r="R26" i="194"/>
  <c r="P27" i="194"/>
  <c r="Q26" i="194"/>
  <c r="M27" i="194"/>
  <c r="I27" i="194"/>
  <c r="J27" i="194"/>
  <c r="K27" i="194"/>
  <c r="AH27" i="194"/>
  <c r="AI27" i="194"/>
  <c r="AK27" i="194"/>
  <c r="AG27" i="194"/>
  <c r="AC27" i="194"/>
  <c r="Y27" i="194"/>
  <c r="Z27" i="194"/>
  <c r="AA27" i="194"/>
  <c r="Q27" i="194"/>
  <c r="U27" i="194"/>
  <c r="R27" i="194"/>
  <c r="S27" i="194"/>
  <c r="AE32" i="194" l="1"/>
  <c r="O38" i="194"/>
  <c r="AE36" i="194"/>
  <c r="AE30" i="194"/>
  <c r="AE31" i="194"/>
  <c r="AE29" i="194"/>
  <c r="O30" i="194"/>
  <c r="O36" i="194"/>
  <c r="O31" i="194"/>
  <c r="O33" i="194"/>
  <c r="S15" i="194"/>
  <c r="AG39" i="194"/>
  <c r="Y39" i="194"/>
  <c r="I39" i="194"/>
  <c r="Q39" i="194"/>
  <c r="S39" i="194"/>
  <c r="T33" i="194"/>
  <c r="AB32" i="194"/>
  <c r="L30" i="194"/>
  <c r="L31" i="194"/>
  <c r="AB30" i="194"/>
  <c r="T21" i="194"/>
  <c r="L19" i="194"/>
  <c r="AB26" i="194"/>
  <c r="AJ20" i="194"/>
  <c r="L27" i="194"/>
  <c r="J35" i="194"/>
  <c r="T32" i="194"/>
  <c r="AJ33" i="194"/>
  <c r="L36" i="194"/>
  <c r="AB39" i="194"/>
  <c r="L33" i="194"/>
  <c r="AJ23" i="194"/>
  <c r="L20" i="194"/>
  <c r="L18" i="194"/>
  <c r="AJ19" i="194"/>
  <c r="T18" i="194"/>
  <c r="AK37" i="194"/>
  <c r="AB37" i="194"/>
  <c r="L35" i="194"/>
  <c r="AJ30" i="194"/>
  <c r="T37" i="194"/>
  <c r="AJ36" i="194"/>
  <c r="AB21" i="194"/>
  <c r="L24" i="194"/>
  <c r="T19" i="194"/>
  <c r="L21" i="194"/>
  <c r="J29" i="194"/>
  <c r="AI38" i="194"/>
  <c r="T29" i="194"/>
  <c r="AJ39" i="194"/>
  <c r="AB36" i="194"/>
  <c r="L38" i="194"/>
  <c r="AJ35" i="194"/>
  <c r="AJ27" i="194"/>
  <c r="L22" i="194"/>
  <c r="T26" i="194"/>
  <c r="L26" i="194"/>
  <c r="AI35" i="194"/>
  <c r="AB38" i="194"/>
  <c r="L39" i="194"/>
  <c r="T30" i="194"/>
  <c r="AB33" i="194"/>
  <c r="L37" i="194"/>
  <c r="AB27" i="194"/>
  <c r="AJ22" i="194"/>
  <c r="AB23" i="194"/>
  <c r="AB18" i="194"/>
  <c r="I21" i="194"/>
  <c r="S32" i="194"/>
  <c r="T39" i="194"/>
  <c r="L32" i="194"/>
  <c r="AB29" i="194"/>
  <c r="AB35" i="194"/>
  <c r="AJ31" i="194"/>
  <c r="AJ26" i="194"/>
  <c r="T24" i="194"/>
  <c r="T23" i="194"/>
  <c r="T20" i="194"/>
  <c r="S20" i="194"/>
  <c r="U20" i="194"/>
  <c r="L29" i="194"/>
  <c r="AJ38" i="194"/>
  <c r="AJ37" i="194"/>
  <c r="T38" i="194"/>
  <c r="AB31" i="194"/>
  <c r="AB19" i="194"/>
  <c r="AB24" i="194"/>
  <c r="L23" i="194"/>
  <c r="AB22" i="194"/>
  <c r="AJ21" i="194"/>
  <c r="Z38" i="194"/>
  <c r="T31" i="194"/>
  <c r="AJ29" i="194"/>
  <c r="T35" i="194"/>
  <c r="T36" i="194"/>
  <c r="AJ32" i="194"/>
  <c r="AJ18" i="194"/>
  <c r="T22" i="194"/>
  <c r="T27" i="194"/>
  <c r="AB20" i="194"/>
  <c r="AJ24" i="194"/>
  <c r="O32" i="194" l="1"/>
  <c r="AE38" i="194"/>
  <c r="W38" i="194"/>
  <c r="W29" i="194"/>
  <c r="W32" i="194"/>
  <c r="W36" i="194"/>
  <c r="W37" i="194"/>
  <c r="W30" i="194"/>
  <c r="W35" i="194"/>
  <c r="W39" i="194"/>
  <c r="W31" i="194"/>
  <c r="AA15" i="194"/>
  <c r="O29" i="194"/>
  <c r="AE39" i="194"/>
  <c r="AE35" i="194"/>
  <c r="AE33" i="194"/>
  <c r="G38" i="194"/>
  <c r="G32" i="194"/>
  <c r="O37" i="194"/>
  <c r="O39" i="194"/>
  <c r="G35" i="194"/>
  <c r="G29" i="194"/>
  <c r="G37" i="194"/>
  <c r="G33" i="194"/>
  <c r="G36" i="194"/>
  <c r="G30" i="194"/>
  <c r="G31" i="194"/>
  <c r="G39" i="194"/>
  <c r="K15" i="194"/>
  <c r="O35" i="194"/>
  <c r="W33" i="194" l="1"/>
  <c r="AE37" i="194"/>
</calcChain>
</file>

<file path=xl/sharedStrings.xml><?xml version="1.0" encoding="utf-8"?>
<sst xmlns="http://schemas.openxmlformats.org/spreadsheetml/2006/main" count="259" uniqueCount="166">
  <si>
    <t>μm</t>
    <phoneticPr fontId="18"/>
  </si>
  <si>
    <t>Au</t>
    <phoneticPr fontId="18"/>
  </si>
  <si>
    <t>Kapton</t>
    <phoneticPr fontId="18"/>
  </si>
  <si>
    <t>PL.mylar</t>
    <phoneticPr fontId="18"/>
  </si>
  <si>
    <t>Air1</t>
    <phoneticPr fontId="18"/>
  </si>
  <si>
    <t>IC1.mylar</t>
    <phoneticPr fontId="18"/>
  </si>
  <si>
    <t>Beam</t>
    <phoneticPr fontId="18"/>
  </si>
  <si>
    <t>PL.EJ212</t>
    <phoneticPr fontId="18"/>
  </si>
  <si>
    <t>Air2</t>
    <phoneticPr fontId="18"/>
  </si>
  <si>
    <t>℃</t>
    <phoneticPr fontId="18"/>
  </si>
  <si>
    <t>hPa</t>
    <phoneticPr fontId="18"/>
  </si>
  <si>
    <t>気温</t>
    <rPh sb="0" eb="2">
      <t>キオン</t>
    </rPh>
    <phoneticPr fontId="18"/>
  </si>
  <si>
    <t>気圧</t>
    <rPh sb="0" eb="1">
      <t>キ</t>
    </rPh>
    <rPh sb="1" eb="2">
      <t>アツ</t>
    </rPh>
    <phoneticPr fontId="18"/>
  </si>
  <si>
    <t>ThkStd</t>
  </si>
  <si>
    <t>40Ar</t>
    <phoneticPr fontId="18"/>
  </si>
  <si>
    <t>maxLET</t>
    <phoneticPr fontId="18"/>
  </si>
  <si>
    <t>Air</t>
    <phoneticPr fontId="18"/>
  </si>
  <si>
    <t>mm</t>
    <phoneticPr fontId="18"/>
  </si>
  <si>
    <t>84Kr</t>
    <phoneticPr fontId="18"/>
  </si>
  <si>
    <t>197Au</t>
    <phoneticPr fontId="18"/>
  </si>
  <si>
    <t>Matr1</t>
    <phoneticPr fontId="18"/>
  </si>
  <si>
    <t>Matr2</t>
    <phoneticPr fontId="18"/>
  </si>
  <si>
    <t>Si</t>
    <phoneticPr fontId="18"/>
  </si>
  <si>
    <t>Kapton</t>
    <phoneticPr fontId="18"/>
  </si>
  <si>
    <t>Mylar</t>
    <phoneticPr fontId="18"/>
  </si>
  <si>
    <t>EJ212</t>
    <phoneticPr fontId="18"/>
  </si>
  <si>
    <t>Al</t>
    <phoneticPr fontId="18"/>
  </si>
  <si>
    <t>Matr3</t>
    <phoneticPr fontId="18"/>
  </si>
  <si>
    <t>Matr4</t>
    <phoneticPr fontId="18"/>
  </si>
  <si>
    <t>Matr5</t>
    <phoneticPr fontId="18"/>
  </si>
  <si>
    <t>Matr6</t>
    <phoneticPr fontId="18"/>
  </si>
  <si>
    <t>MatrG</t>
    <phoneticPr fontId="18"/>
  </si>
  <si>
    <t>WSnam</t>
    <phoneticPr fontId="18"/>
  </si>
  <si>
    <t>μm</t>
  </si>
  <si>
    <t>MeV/u</t>
    <phoneticPr fontId="18"/>
  </si>
  <si>
    <t>mm</t>
    <phoneticPr fontId="18"/>
  </si>
  <si>
    <t>BmMon Thick</t>
    <phoneticPr fontId="18"/>
  </si>
  <si>
    <t>""</t>
    <phoneticPr fontId="18"/>
  </si>
  <si>
    <t>Si深さ</t>
    <rPh sb="2" eb="3">
      <t>フカ</t>
    </rPh>
    <phoneticPr fontId="18"/>
  </si>
  <si>
    <t>MeV/u</t>
    <phoneticPr fontId="18"/>
  </si>
  <si>
    <t>mm</t>
    <phoneticPr fontId="18"/>
  </si>
  <si>
    <t>LET</t>
    <phoneticPr fontId="18"/>
  </si>
  <si>
    <t>in Si</t>
    <phoneticPr fontId="18"/>
  </si>
  <si>
    <t>in air</t>
    <phoneticPr fontId="18"/>
  </si>
  <si>
    <t>R Si</t>
    <phoneticPr fontId="18"/>
  </si>
  <si>
    <t>R Al</t>
    <phoneticPr fontId="18"/>
  </si>
  <si>
    <t>R air</t>
    <phoneticPr fontId="18"/>
  </si>
  <si>
    <t>E</t>
    <phoneticPr fontId="18"/>
  </si>
  <si>
    <t>　aft Au</t>
    <phoneticPr fontId="18"/>
  </si>
  <si>
    <t>　aft Kap</t>
    <phoneticPr fontId="18"/>
  </si>
  <si>
    <t>　aft IC1</t>
    <phoneticPr fontId="18"/>
  </si>
  <si>
    <t>　aft PLmyl</t>
    <phoneticPr fontId="18"/>
  </si>
  <si>
    <t>　aft PL</t>
    <phoneticPr fontId="18"/>
  </si>
  <si>
    <t>　aft Air1</t>
    <phoneticPr fontId="18"/>
  </si>
  <si>
    <t>cf.)</t>
    <phoneticPr fontId="18"/>
  </si>
  <si>
    <t>from) params</t>
    <phoneticPr fontId="18"/>
  </si>
  <si>
    <t>aft Air2:Si表面</t>
    <rPh sb="11" eb="13">
      <t>ヒョウメン</t>
    </rPh>
    <phoneticPr fontId="18"/>
  </si>
  <si>
    <t>EDeg出口まで</t>
    <rPh sb="4" eb="6">
      <t>デグチ</t>
    </rPh>
    <phoneticPr fontId="18"/>
  </si>
  <si>
    <t>照射位置で</t>
    <rPh sb="0" eb="2">
      <t>ショウシャ</t>
    </rPh>
    <rPh sb="2" eb="4">
      <t>イチ</t>
    </rPh>
    <phoneticPr fontId="18"/>
  </si>
  <si>
    <t>Ebm公称</t>
    <rPh sb="3" eb="5">
      <t>コウショウ</t>
    </rPh>
    <phoneticPr fontId="18"/>
  </si>
  <si>
    <t>δEbm [%]</t>
    <phoneticPr fontId="18"/>
  </si>
  <si>
    <t>⊿ExpR</t>
    <phoneticPr fontId="18"/>
  </si>
  <si>
    <r>
      <rPr>
        <sz val="10"/>
        <color rgb="FFFF0000"/>
        <rFont val="ＭＳ Ｐゴシック"/>
        <family val="3"/>
        <charset val="128"/>
        <scheme val="minor"/>
      </rPr>
      <t>ExpR</t>
    </r>
    <r>
      <rPr>
        <sz val="10"/>
        <color theme="1"/>
        <rFont val="ＭＳ Ｐゴシック"/>
        <family val="3"/>
        <charset val="128"/>
        <scheme val="minor"/>
      </rPr>
      <t>:実測</t>
    </r>
    <rPh sb="5" eb="7">
      <t>ジッソク</t>
    </rPh>
    <phoneticPr fontId="18"/>
  </si>
  <si>
    <t>Si表面で</t>
    <rPh sb="2" eb="4">
      <t>ヒョウメン</t>
    </rPh>
    <phoneticPr fontId="18"/>
  </si>
  <si>
    <t>LET調整 1</t>
    <rPh sb="3" eb="5">
      <t>チョウセイ</t>
    </rPh>
    <phoneticPr fontId="18"/>
  </si>
  <si>
    <t>LET調整 2</t>
    <rPh sb="3" eb="5">
      <t>チョウセイ</t>
    </rPh>
    <phoneticPr fontId="18"/>
  </si>
  <si>
    <t>LET調整 3</t>
    <rPh sb="3" eb="5">
      <t>チョウセイ</t>
    </rPh>
    <phoneticPr fontId="18"/>
  </si>
  <si>
    <t>EDeg</t>
    <phoneticPr fontId="18"/>
  </si>
  <si>
    <t>Alμm</t>
    <phoneticPr fontId="18"/>
  </si>
  <si>
    <t>&lt;-2016.10</t>
    <phoneticPr fontId="18"/>
  </si>
  <si>
    <t>　in  Vacc</t>
    <phoneticPr fontId="18"/>
  </si>
  <si>
    <t>aft       Si深さ</t>
    <rPh sb="12" eb="13">
      <t>フカ</t>
    </rPh>
    <phoneticPr fontId="18"/>
  </si>
  <si>
    <t xml:space="preserve"> IC1厚30+ボルト10</t>
    <phoneticPr fontId="18"/>
  </si>
  <si>
    <t>Air1厚</t>
    <rPh sb="4" eb="5">
      <t>アツ</t>
    </rPh>
    <phoneticPr fontId="18"/>
  </si>
  <si>
    <t>136Xe</t>
    <phoneticPr fontId="18"/>
  </si>
  <si>
    <t xml:space="preserve"> 145: IC1+PL+EDeg</t>
    <phoneticPr fontId="18"/>
  </si>
  <si>
    <t xml:space="preserve"> 105: IC1+PL無+EDeg</t>
    <phoneticPr fontId="18"/>
  </si>
  <si>
    <t xml:space="preserve">  40: IC1+PL無+ED無</t>
    <rPh sb="16" eb="17">
      <t>ナ</t>
    </rPh>
    <phoneticPr fontId="18"/>
  </si>
  <si>
    <t>LET調整 4</t>
    <rPh sb="3" eb="5">
      <t>チョウセイ</t>
    </rPh>
    <phoneticPr fontId="18"/>
  </si>
  <si>
    <t>エネルギー</t>
    <phoneticPr fontId="18"/>
  </si>
  <si>
    <t>(参考)</t>
    <rPh sb="1" eb="3">
      <t>サンコウ</t>
    </rPh>
    <phoneticPr fontId="18"/>
  </si>
  <si>
    <t>MeV</t>
    <phoneticPr fontId="18"/>
  </si>
  <si>
    <t>μm</t>
    <phoneticPr fontId="18"/>
  </si>
  <si>
    <t>飛程</t>
    <rPh sb="0" eb="2">
      <t>ヒテイ</t>
    </rPh>
    <phoneticPr fontId="18"/>
  </si>
  <si>
    <t>照射角度</t>
    <rPh sb="0" eb="2">
      <t>ショウシャ</t>
    </rPh>
    <rPh sb="2" eb="4">
      <t>カクド</t>
    </rPh>
    <phoneticPr fontId="18"/>
  </si>
  <si>
    <t>θ</t>
    <phoneticPr fontId="18"/>
  </si>
  <si>
    <t>感応領域深さ</t>
    <rPh sb="0" eb="2">
      <t>カンノウ</t>
    </rPh>
    <rPh sb="2" eb="4">
      <t>リョウイキ</t>
    </rPh>
    <rPh sb="4" eb="5">
      <t>フカ</t>
    </rPh>
    <phoneticPr fontId="18"/>
  </si>
  <si>
    <t>（角度換算）</t>
    <rPh sb="1" eb="3">
      <t>カクド</t>
    </rPh>
    <rPh sb="3" eb="5">
      <t>カンザン</t>
    </rPh>
    <phoneticPr fontId="18"/>
  </si>
  <si>
    <t>度</t>
    <phoneticPr fontId="18"/>
  </si>
  <si>
    <t>E0</t>
    <phoneticPr fontId="18"/>
  </si>
  <si>
    <t>E1</t>
    <phoneticPr fontId="18"/>
  </si>
  <si>
    <t>表面</t>
    <rPh sb="0" eb="2">
      <t>ヒョウメン</t>
    </rPh>
    <phoneticPr fontId="18"/>
  </si>
  <si>
    <t>感応領域位置で</t>
    <rPh sb="0" eb="2">
      <t>カンノウ</t>
    </rPh>
    <rPh sb="2" eb="4">
      <t>リョウイキ</t>
    </rPh>
    <rPh sb="4" eb="6">
      <t>イチ</t>
    </rPh>
    <phoneticPr fontId="18"/>
  </si>
  <si>
    <t>深さD</t>
    <rPh sb="0" eb="1">
      <t>フカ</t>
    </rPh>
    <phoneticPr fontId="18"/>
  </si>
  <si>
    <t>チップ表面で</t>
    <rPh sb="3" eb="5">
      <t>ヒョウメン</t>
    </rPh>
    <phoneticPr fontId="18"/>
  </si>
  <si>
    <t>ビーム設定希望値　</t>
    <phoneticPr fontId="18"/>
  </si>
  <si>
    <t>　(チップ表面からの深さ =</t>
    <phoneticPr fontId="18"/>
  </si>
  <si>
    <t>μm と仮定）</t>
    <rPh sb="4" eb="6">
      <t>カテイ</t>
    </rPh>
    <phoneticPr fontId="18"/>
  </si>
  <si>
    <t>WSname=</t>
    <phoneticPr fontId="18"/>
  </si>
  <si>
    <t>残りの飛程</t>
    <rPh sb="0" eb="1">
      <t>ノコ</t>
    </rPh>
    <rPh sb="3" eb="5">
      <t>ヒテイ</t>
    </rPh>
    <phoneticPr fontId="18"/>
  </si>
  <si>
    <t>R0(Si)</t>
    <phoneticPr fontId="18"/>
  </si>
  <si>
    <t>LET0（Si)</t>
    <phoneticPr fontId="18"/>
  </si>
  <si>
    <t>角度換算</t>
    <rPh sb="0" eb="2">
      <t>カクド</t>
    </rPh>
    <rPh sb="2" eb="4">
      <t>カンザン</t>
    </rPh>
    <phoneticPr fontId="18"/>
  </si>
  <si>
    <t>等価LET</t>
    <rPh sb="0" eb="2">
      <t>トウカ</t>
    </rPh>
    <phoneticPr fontId="18"/>
  </si>
  <si>
    <t>イオン</t>
    <phoneticPr fontId="18"/>
  </si>
  <si>
    <t>核種</t>
    <rPh sb="0" eb="2">
      <t>カクシュ</t>
    </rPh>
    <phoneticPr fontId="18"/>
  </si>
  <si>
    <t>照射</t>
    <rPh sb="0" eb="2">
      <t>ショウシャ</t>
    </rPh>
    <phoneticPr fontId="18"/>
  </si>
  <si>
    <t>[注１]</t>
    <rPh sb="1" eb="2">
      <t>チュウ</t>
    </rPh>
    <phoneticPr fontId="18"/>
  </si>
  <si>
    <t>[注2]</t>
    <rPh sb="1" eb="2">
      <t>チュウ</t>
    </rPh>
    <phoneticPr fontId="18"/>
  </si>
  <si>
    <t>LET①（Si)</t>
    <phoneticPr fontId="18"/>
  </si>
  <si>
    <t>LET②(Si)</t>
    <phoneticPr fontId="18"/>
  </si>
  <si>
    <t>(</t>
    <phoneticPr fontId="18"/>
  </si>
  <si>
    <t>[注１]　</t>
    <rPh sb="1" eb="2">
      <t>チュウ</t>
    </rPh>
    <phoneticPr fontId="18"/>
  </si>
  <si>
    <t>[注２]　</t>
    <rPh sb="1" eb="2">
      <t>チュウ</t>
    </rPh>
    <phoneticPr fontId="18"/>
  </si>
  <si>
    <t>感応領域深さ(角度換算) D は、</t>
    <rPh sb="0" eb="2">
      <t>カンノウ</t>
    </rPh>
    <rPh sb="2" eb="4">
      <t>リョウイキ</t>
    </rPh>
    <rPh sb="4" eb="5">
      <t>フカ</t>
    </rPh>
    <rPh sb="7" eb="9">
      <t>カクド</t>
    </rPh>
    <rPh sb="9" eb="11">
      <t>カンザン</t>
    </rPh>
    <phoneticPr fontId="18"/>
  </si>
  <si>
    <t>角度換算 等価 LET②　は、</t>
    <rPh sb="0" eb="2">
      <t>カクド</t>
    </rPh>
    <rPh sb="2" eb="4">
      <t>カンザン</t>
    </rPh>
    <rPh sb="5" eb="7">
      <t>トウカ</t>
    </rPh>
    <phoneticPr fontId="18"/>
  </si>
  <si>
    <t>LET①</t>
    <phoneticPr fontId="18"/>
  </si>
  <si>
    <t>[　表中の計算式　は、次の様に記述してあります　]　</t>
    <rPh sb="2" eb="3">
      <t>ヒョウ</t>
    </rPh>
    <rPh sb="3" eb="4">
      <t>チュウ</t>
    </rPh>
    <rPh sb="5" eb="7">
      <t>ケイサン</t>
    </rPh>
    <rPh sb="7" eb="8">
      <t>シキ</t>
    </rPh>
    <rPh sb="11" eb="12">
      <t>ツギ</t>
    </rPh>
    <rPh sb="13" eb="14">
      <t>ヨウ</t>
    </rPh>
    <rPh sb="15" eb="17">
      <t>キジュツ</t>
    </rPh>
    <phoneticPr fontId="18"/>
  </si>
  <si>
    <t>D0</t>
    <phoneticPr fontId="18"/>
  </si>
  <si>
    <t>D1</t>
    <phoneticPr fontId="18"/>
  </si>
  <si>
    <t>maxLET値</t>
    <rPh sb="6" eb="7">
      <t>チ</t>
    </rPh>
    <phoneticPr fontId="18"/>
  </si>
  <si>
    <t>θを指定</t>
    <rPh sb="2" eb="4">
      <t>シテイ</t>
    </rPh>
    <phoneticPr fontId="18"/>
  </si>
  <si>
    <t xml:space="preserve">srLETt2Eh() </t>
    <phoneticPr fontId="18"/>
  </si>
  <si>
    <t>使用している関数名</t>
    <rPh sb="0" eb="2">
      <t>シヨウ</t>
    </rPh>
    <rPh sb="6" eb="9">
      <t>カンスウメイ</t>
    </rPh>
    <phoneticPr fontId="18"/>
  </si>
  <si>
    <r>
      <t xml:space="preserve">&lt;- E1 から Thick=D 通過前の E0 を求む </t>
    </r>
    <r>
      <rPr>
        <b/>
        <sz val="11"/>
        <color theme="1"/>
        <rFont val="ＭＳ Ｐゴシック"/>
        <family val="3"/>
        <charset val="128"/>
        <scheme val="minor"/>
      </rPr>
      <t/>
    </r>
    <rPh sb="17" eb="19">
      <t>ツウカ</t>
    </rPh>
    <rPh sb="19" eb="20">
      <t>マエ</t>
    </rPh>
    <rPh sb="26" eb="27">
      <t>モト</t>
    </rPh>
    <phoneticPr fontId="18"/>
  </si>
  <si>
    <t xml:space="preserve">srEold() </t>
    <phoneticPr fontId="18"/>
  </si>
  <si>
    <r>
      <t>&lt;- LET から E に変換</t>
    </r>
    <r>
      <rPr>
        <b/>
        <sz val="11"/>
        <color theme="1"/>
        <rFont val="ＭＳ Ｐゴシック"/>
        <family val="3"/>
        <charset val="128"/>
        <scheme val="minor"/>
      </rPr>
      <t/>
    </r>
    <rPh sb="13" eb="15">
      <t>ヘンカン</t>
    </rPh>
    <phoneticPr fontId="18"/>
  </si>
  <si>
    <t>srE2LETt()</t>
  </si>
  <si>
    <t>&lt;- E[A.MeV] から LET に変換</t>
    <rPh sb="20" eb="22">
      <t>ヘンカン</t>
    </rPh>
    <phoneticPr fontId="18"/>
  </si>
  <si>
    <t>srE2Rng()</t>
  </si>
  <si>
    <t>&lt;- E[A.MeV] から Range に変換</t>
    <rPh sb="22" eb="24">
      <t>ヘンカン</t>
    </rPh>
    <phoneticPr fontId="18"/>
  </si>
  <si>
    <t>&lt;- max LET を表示</t>
    <rPh sb="12" eb="14">
      <t>ヒョウジ</t>
    </rPh>
    <phoneticPr fontId="18"/>
  </si>
  <si>
    <t>[　深さ D0 で、LETmax にするには　]　</t>
    <rPh sb="2" eb="3">
      <t>フカ</t>
    </rPh>
    <phoneticPr fontId="18"/>
  </si>
  <si>
    <t>ビームエネルギー計算表</t>
    <rPh sb="8" eb="10">
      <t>ケイサン</t>
    </rPh>
    <rPh sb="10" eb="11">
      <t>ヒョウ</t>
    </rPh>
    <phoneticPr fontId="18"/>
  </si>
  <si>
    <t>/cosθ)　で表しています。</t>
    <rPh sb="8" eb="9">
      <t>アラワ</t>
    </rPh>
    <phoneticPr fontId="18"/>
  </si>
  <si>
    <t>（　表計算の使い方　）</t>
    <rPh sb="2" eb="5">
      <t>ヒョウケイサン</t>
    </rPh>
    <rPh sb="6" eb="7">
      <t>ツカ</t>
    </rPh>
    <rPh sb="8" eb="9">
      <t>カタ</t>
    </rPh>
    <phoneticPr fontId="18"/>
  </si>
  <si>
    <t>照射物(チップ)は、Si 材としてあります。</t>
    <rPh sb="0" eb="2">
      <t>ショウシャ</t>
    </rPh>
    <rPh sb="2" eb="3">
      <t>ブツ</t>
    </rPh>
    <rPh sb="13" eb="14">
      <t>ザイ</t>
    </rPh>
    <phoneticPr fontId="18"/>
  </si>
  <si>
    <t>表中で、</t>
    <rPh sb="0" eb="2">
      <t>ヒョウチュウ</t>
    </rPh>
    <phoneticPr fontId="18"/>
  </si>
  <si>
    <r>
      <rPr>
        <b/>
        <sz val="12"/>
        <color rgb="FF0000FF"/>
        <rFont val="ＭＳ Ｐゴシック"/>
        <family val="3"/>
        <charset val="128"/>
        <scheme val="minor"/>
      </rPr>
      <t>青字(太字)</t>
    </r>
    <r>
      <rPr>
        <sz val="12"/>
        <color theme="1"/>
        <rFont val="ＭＳ Ｐゴシック"/>
        <family val="3"/>
        <charset val="128"/>
        <scheme val="minor"/>
      </rPr>
      <t>部分：　の数字を入力して下さい。</t>
    </r>
    <rPh sb="0" eb="1">
      <t>アオ</t>
    </rPh>
    <rPh sb="1" eb="2">
      <t>ジ</t>
    </rPh>
    <rPh sb="3" eb="5">
      <t>フトジ</t>
    </rPh>
    <rPh sb="6" eb="8">
      <t>ブブン</t>
    </rPh>
    <rPh sb="11" eb="13">
      <t>スウジ</t>
    </rPh>
    <rPh sb="14" eb="16">
      <t>ニュウリョク</t>
    </rPh>
    <rPh sb="18" eb="19">
      <t>クダ</t>
    </rPh>
    <phoneticPr fontId="18"/>
  </si>
  <si>
    <t>LET大</t>
    <rPh sb="3" eb="4">
      <t>ダイ</t>
    </rPh>
    <phoneticPr fontId="18"/>
  </si>
  <si>
    <t>LET中1</t>
    <rPh sb="3" eb="4">
      <t>チュウ</t>
    </rPh>
    <phoneticPr fontId="18"/>
  </si>
  <si>
    <t>LET中2</t>
    <rPh sb="3" eb="4">
      <t>チュウ</t>
    </rPh>
    <phoneticPr fontId="18"/>
  </si>
  <si>
    <t>LET小</t>
    <rPh sb="3" eb="4">
      <t>ショウ</t>
    </rPh>
    <phoneticPr fontId="18"/>
  </si>
  <si>
    <t>LET中1,中2,小 の段の　θ度　は、LET大の段の値を参照しています。</t>
    <rPh sb="3" eb="4">
      <t>チュウ</t>
    </rPh>
    <rPh sb="6" eb="7">
      <t>チュウ</t>
    </rPh>
    <rPh sb="9" eb="10">
      <t>ショウ</t>
    </rPh>
    <rPh sb="12" eb="13">
      <t>ダン</t>
    </rPh>
    <rPh sb="16" eb="17">
      <t>ド</t>
    </rPh>
    <rPh sb="23" eb="24">
      <t>ダイ</t>
    </rPh>
    <rPh sb="25" eb="26">
      <t>ダン</t>
    </rPh>
    <rPh sb="27" eb="28">
      <t>アタイ</t>
    </rPh>
    <rPh sb="29" eb="31">
      <t>サンショウ</t>
    </rPh>
    <phoneticPr fontId="18"/>
  </si>
  <si>
    <t>１．で指定したイオン核種で得られる最大LET は、下の表中の 「maxLET値」に表示されています。</t>
    <rPh sb="3" eb="5">
      <t>シテイ</t>
    </rPh>
    <rPh sb="10" eb="12">
      <t>カクシュ</t>
    </rPh>
    <rPh sb="13" eb="14">
      <t>エ</t>
    </rPh>
    <rPh sb="17" eb="19">
      <t>サイダイ</t>
    </rPh>
    <rPh sb="25" eb="26">
      <t>シタ</t>
    </rPh>
    <rPh sb="27" eb="28">
      <t>ヒョウ</t>
    </rPh>
    <rPh sb="28" eb="29">
      <t>チュウ</t>
    </rPh>
    <rPh sb="38" eb="39">
      <t>チ</t>
    </rPh>
    <rPh sb="41" eb="43">
      <t>ヒョウジ</t>
    </rPh>
    <phoneticPr fontId="18"/>
  </si>
  <si>
    <t>逆に、希望する 「LETの最小値」 は、６．の表で決まります。</t>
    <rPh sb="0" eb="1">
      <t>ギャク</t>
    </rPh>
    <rPh sb="3" eb="5">
      <t>キボウ</t>
    </rPh>
    <rPh sb="13" eb="16">
      <t>サイショウチ</t>
    </rPh>
    <rPh sb="23" eb="24">
      <t>ヒョウ</t>
    </rPh>
    <rPh sb="25" eb="26">
      <t>キ</t>
    </rPh>
    <phoneticPr fontId="18"/>
  </si>
  <si>
    <t>希望する 「LETの最大値」 は、この 「maxLET 以下」　にしてください。</t>
    <rPh sb="0" eb="2">
      <t>キボウ</t>
    </rPh>
    <rPh sb="10" eb="13">
      <t>サイダイチ</t>
    </rPh>
    <rPh sb="28" eb="30">
      <t>イカ</t>
    </rPh>
    <phoneticPr fontId="18"/>
  </si>
  <si>
    <t>&lt;-2017.03</t>
    <phoneticPr fontId="18"/>
  </si>
  <si>
    <t>今までに E5Aコースで実測したセットアップ　の値を、Au,Kapton,～Air2 の欄に入力してあります。</t>
    <rPh sb="0" eb="1">
      <t>イマ</t>
    </rPh>
    <rPh sb="12" eb="14">
      <t>ジッソク</t>
    </rPh>
    <rPh sb="24" eb="25">
      <t>アタイ</t>
    </rPh>
    <rPh sb="44" eb="45">
      <t>ラン</t>
    </rPh>
    <rPh sb="46" eb="48">
      <t>ニュウリョク</t>
    </rPh>
    <phoneticPr fontId="18"/>
  </si>
  <si>
    <t>&lt;-2017.02</t>
    <phoneticPr fontId="18"/>
  </si>
  <si>
    <t>40Ar</t>
    <phoneticPr fontId="18"/>
  </si>
  <si>
    <t>イオン核種</t>
    <rPh sb="3" eb="5">
      <t>カクシュ</t>
    </rPh>
    <phoneticPr fontId="18"/>
  </si>
  <si>
    <t>LET最小値( チップ表面 D = 0 μm で )</t>
    <rPh sb="3" eb="6">
      <t>サイショウチ</t>
    </rPh>
    <rPh sb="11" eb="13">
      <t>ヒョウメン</t>
    </rPh>
    <phoneticPr fontId="18"/>
  </si>
  <si>
    <t>84Kr</t>
    <phoneticPr fontId="18"/>
  </si>
  <si>
    <t>136Xe</t>
    <phoneticPr fontId="18"/>
  </si>
  <si>
    <t>LET 単位は [ MeV/(mg/cm2) ] です。</t>
    <rPh sb="4" eb="6">
      <t>タンイ</t>
    </rPh>
    <phoneticPr fontId="18"/>
  </si>
  <si>
    <t>左表の値は、シート「ExpR推定」から引用してあります。</t>
    <rPh sb="0" eb="1">
      <t>ヒダリ</t>
    </rPh>
    <rPh sb="1" eb="2">
      <t>ヒョウ</t>
    </rPh>
    <rPh sb="3" eb="4">
      <t>アタイ</t>
    </rPh>
    <rPh sb="14" eb="16">
      <t>スイテイ</t>
    </rPh>
    <rPh sb="19" eb="21">
      <t>インヨウ</t>
    </rPh>
    <phoneticPr fontId="18"/>
  </si>
  <si>
    <t>照射位置での LET in Si の値です。</t>
    <rPh sb="0" eb="2">
      <t>ショウシャ</t>
    </rPh>
    <rPh sb="2" eb="4">
      <t>イチ</t>
    </rPh>
    <rPh sb="18" eb="19">
      <t>アタイ</t>
    </rPh>
    <phoneticPr fontId="18"/>
  </si>
  <si>
    <t>デフォルトのMySRIMwb.xlsx に登録済の核種は 40Ar, 84,86Kr, 129,132,136Xe, 181Ta, 197Au です。</t>
    <rPh sb="21" eb="23">
      <t>トウロク</t>
    </rPh>
    <rPh sb="23" eb="24">
      <t>スミ</t>
    </rPh>
    <rPh sb="25" eb="27">
      <t>カクシュ</t>
    </rPh>
    <phoneticPr fontId="18"/>
  </si>
  <si>
    <r>
      <t>１．</t>
    </r>
    <r>
      <rPr>
        <b/>
        <sz val="11"/>
        <color rgb="FF0000FF"/>
        <rFont val="ＭＳ Ｐゴシック"/>
        <family val="3"/>
        <charset val="128"/>
        <scheme val="minor"/>
      </rPr>
      <t xml:space="preserve">照射 「イオン核種」 </t>
    </r>
    <r>
      <rPr>
        <b/>
        <sz val="11"/>
        <color theme="1"/>
        <rFont val="ＭＳ Ｐゴシック"/>
        <family val="3"/>
        <charset val="128"/>
        <scheme val="minor"/>
      </rPr>
      <t>を指定します。</t>
    </r>
    <rPh sb="2" eb="4">
      <t>ショウシャ</t>
    </rPh>
    <rPh sb="9" eb="11">
      <t>カクシュ</t>
    </rPh>
    <rPh sb="14" eb="16">
      <t>シテイ</t>
    </rPh>
    <phoneticPr fontId="18"/>
  </si>
  <si>
    <r>
      <t>２．チップ表面からの</t>
    </r>
    <r>
      <rPr>
        <b/>
        <sz val="11"/>
        <color rgb="FF0000FF"/>
        <rFont val="ＭＳ Ｐゴシック"/>
        <family val="3"/>
        <charset val="128"/>
        <scheme val="minor"/>
      </rPr>
      <t>深さ 「D0 μm」</t>
    </r>
    <r>
      <rPr>
        <b/>
        <sz val="11"/>
        <color theme="1"/>
        <rFont val="ＭＳ Ｐゴシック"/>
        <family val="3"/>
        <charset val="128"/>
        <scheme val="minor"/>
      </rPr>
      <t xml:space="preserve"> を指定します。</t>
    </r>
    <rPh sb="5" eb="7">
      <t>ヒョウメン</t>
    </rPh>
    <rPh sb="10" eb="11">
      <t>フカ</t>
    </rPh>
    <rPh sb="22" eb="24">
      <t>シテイ</t>
    </rPh>
    <phoneticPr fontId="18"/>
  </si>
  <si>
    <r>
      <t>３．LET大の段で、</t>
    </r>
    <r>
      <rPr>
        <b/>
        <sz val="11"/>
        <color rgb="FF0000FF"/>
        <rFont val="ＭＳ Ｐゴシック"/>
        <family val="3"/>
        <charset val="128"/>
        <scheme val="minor"/>
      </rPr>
      <t>照射角度 「θ度 」</t>
    </r>
    <r>
      <rPr>
        <b/>
        <sz val="11"/>
        <color theme="1"/>
        <rFont val="ＭＳ Ｐゴシック"/>
        <family val="3"/>
        <charset val="128"/>
        <scheme val="minor"/>
      </rPr>
      <t xml:space="preserve"> を指定します。</t>
    </r>
    <rPh sb="5" eb="6">
      <t>ダイ</t>
    </rPh>
    <rPh sb="7" eb="8">
      <t>ダン</t>
    </rPh>
    <rPh sb="10" eb="12">
      <t>ショウシャ</t>
    </rPh>
    <rPh sb="12" eb="14">
      <t>カクド</t>
    </rPh>
    <rPh sb="17" eb="18">
      <t>ド</t>
    </rPh>
    <rPh sb="22" eb="24">
      <t>シテイ</t>
    </rPh>
    <phoneticPr fontId="18"/>
  </si>
  <si>
    <r>
      <t>４．LET大～LET小のそれぞれの段で、θ１行目に、深さDに於ける</t>
    </r>
    <r>
      <rPr>
        <b/>
        <sz val="11"/>
        <color rgb="FF0000FF"/>
        <rFont val="ＭＳ Ｐゴシック"/>
        <family val="3"/>
        <charset val="128"/>
        <scheme val="minor"/>
      </rPr>
      <t xml:space="preserve">希望 「LET①(in Si) 」 </t>
    </r>
    <r>
      <rPr>
        <b/>
        <sz val="11"/>
        <color theme="1"/>
        <rFont val="ＭＳ Ｐゴシック"/>
        <family val="3"/>
        <charset val="128"/>
        <scheme val="minor"/>
      </rPr>
      <t>を指定します。</t>
    </r>
    <rPh sb="5" eb="6">
      <t>ダイ</t>
    </rPh>
    <rPh sb="10" eb="11">
      <t>ショウ</t>
    </rPh>
    <rPh sb="17" eb="18">
      <t>ダン</t>
    </rPh>
    <rPh sb="22" eb="23">
      <t>ギョウ</t>
    </rPh>
    <rPh sb="23" eb="24">
      <t>メ</t>
    </rPh>
    <rPh sb="26" eb="27">
      <t>フカ</t>
    </rPh>
    <rPh sb="30" eb="31">
      <t>オ</t>
    </rPh>
    <rPh sb="33" eb="35">
      <t>キボウ</t>
    </rPh>
    <rPh sb="52" eb="54">
      <t>シテイ</t>
    </rPh>
    <phoneticPr fontId="18"/>
  </si>
  <si>
    <r>
      <t>５．チップ表面での</t>
    </r>
    <r>
      <rPr>
        <b/>
        <sz val="11"/>
        <color rgb="FFFF0000"/>
        <rFont val="ＭＳ Ｐゴシック"/>
        <family val="3"/>
        <charset val="128"/>
        <scheme val="minor"/>
      </rPr>
      <t xml:space="preserve"> 「エネルギー」 </t>
    </r>
    <r>
      <rPr>
        <b/>
        <sz val="11"/>
        <color theme="1"/>
        <rFont val="ＭＳ Ｐゴシック"/>
        <family val="3"/>
        <charset val="128"/>
        <scheme val="minor"/>
      </rPr>
      <t>が、自動的に計算されます。</t>
    </r>
    <rPh sb="5" eb="7">
      <t>ヒョウメン</t>
    </rPh>
    <rPh sb="20" eb="23">
      <t>ジドウテキ</t>
    </rPh>
    <rPh sb="24" eb="26">
      <t>ケイサン</t>
    </rPh>
    <phoneticPr fontId="18"/>
  </si>
  <si>
    <r>
      <t xml:space="preserve">６．　照射イオン核種　ごとの </t>
    </r>
    <r>
      <rPr>
        <b/>
        <sz val="11"/>
        <color rgb="FF008000"/>
        <rFont val="ＭＳ Ｐゴシック"/>
        <family val="3"/>
        <charset val="128"/>
        <scheme val="minor"/>
      </rPr>
      <t>「LETの最小値」</t>
    </r>
    <r>
      <rPr>
        <b/>
        <sz val="11"/>
        <color theme="1"/>
        <rFont val="ＭＳ Ｐゴシック"/>
        <family val="3"/>
        <charset val="128"/>
        <scheme val="minor"/>
      </rPr>
      <t xml:space="preserve"> は、</t>
    </r>
    <r>
      <rPr>
        <b/>
        <sz val="11"/>
        <color rgb="FF008000"/>
        <rFont val="ＭＳ Ｐゴシック"/>
        <family val="3"/>
        <charset val="128"/>
        <scheme val="minor"/>
      </rPr>
      <t>理研 E5A コースの場合</t>
    </r>
    <r>
      <rPr>
        <b/>
        <sz val="11"/>
        <color theme="1"/>
        <rFont val="ＭＳ Ｐゴシック"/>
        <family val="3"/>
        <charset val="128"/>
        <scheme val="minor"/>
      </rPr>
      <t>、以下の表のようになっています。</t>
    </r>
    <rPh sb="3" eb="5">
      <t>ショウシャ</t>
    </rPh>
    <rPh sb="8" eb="10">
      <t>カクシュ</t>
    </rPh>
    <rPh sb="20" eb="23">
      <t>サイショウチ</t>
    </rPh>
    <rPh sb="27" eb="29">
      <t>リケン</t>
    </rPh>
    <rPh sb="38" eb="40">
      <t>バアイ</t>
    </rPh>
    <rPh sb="41" eb="43">
      <t>イカ</t>
    </rPh>
    <rPh sb="44" eb="45">
      <t>ヒョウ</t>
    </rPh>
    <phoneticPr fontId="18"/>
  </si>
  <si>
    <t>LET調整範囲推定</t>
    <rPh sb="3" eb="5">
      <t>チョウセイ</t>
    </rPh>
    <rPh sb="5" eb="7">
      <t>ハンイ</t>
    </rPh>
    <rPh sb="7" eb="9">
      <t>スイテイ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</si>
</sst>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00"/>
    <numFmt numFmtId="177" formatCode="0.000"/>
    <numFmt numFmtId="178" formatCode="0.0"/>
    <numFmt numFmtId="179" formatCode="&quot;A=&quot;0"/>
    <numFmt numFmtId="180" formatCode="&quot;Z=&quot;0"/>
    <numFmt numFmtId="181" formatCode="0.00_ "/>
    <numFmt numFmtId="182" formatCode="&quot;Si深&quot;0&quot;μで&quot;"/>
    <numFmt numFmtId="183" formatCode="0&quot;μm&quot;"/>
  </numFmts>
  <fonts count="60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  <charset val="204"/>
    </font>
    <font>
      <sz val="10"/>
      <name val="MS Sans Serif"/>
      <family val="2"/>
    </font>
    <font>
      <sz val="10"/>
      <name val="Geneva"/>
      <family val="2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  <scheme val="minor"/>
    </font>
    <font>
      <sz val="10"/>
      <name val="細明朝体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2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sz val="9"/>
      <color theme="1" tint="0.499984740745262"/>
      <name val="ＭＳ Ｐゴシック"/>
      <family val="3"/>
      <charset val="128"/>
      <scheme val="minor"/>
    </font>
    <font>
      <sz val="11"/>
      <color rgb="FF008000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rgb="FF008000"/>
      <name val="ＭＳ Ｐゴシック"/>
      <family val="3"/>
      <charset val="128"/>
      <scheme val="minor"/>
    </font>
    <font>
      <sz val="10"/>
      <color rgb="FF008000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b/>
      <sz val="10"/>
      <color rgb="FF008000"/>
      <name val="ＭＳ Ｐゴシック"/>
      <family val="3"/>
      <charset val="128"/>
      <scheme val="minor"/>
    </font>
    <font>
      <b/>
      <sz val="14"/>
      <color rgb="FFFF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i/>
      <sz val="9"/>
      <color rgb="FFFF00FF"/>
      <name val="ＭＳ Ｐゴシック"/>
      <family val="3"/>
      <charset val="128"/>
      <scheme val="minor"/>
    </font>
    <font>
      <i/>
      <sz val="11"/>
      <color rgb="FFFF00FF"/>
      <name val="ＭＳ Ｐゴシック"/>
      <family val="3"/>
      <charset val="128"/>
      <scheme val="minor"/>
    </font>
    <font>
      <b/>
      <i/>
      <sz val="11"/>
      <color rgb="FFFF00FF"/>
      <name val="ＭＳ Ｐゴシック"/>
      <family val="3"/>
      <charset val="128"/>
      <scheme val="minor"/>
    </font>
    <font>
      <b/>
      <i/>
      <sz val="11"/>
      <color rgb="FF0000FF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i/>
      <sz val="9"/>
      <color theme="1"/>
      <name val="ＭＳ Ｐゴシック"/>
      <family val="3"/>
      <charset val="128"/>
      <scheme val="minor"/>
    </font>
    <font>
      <b/>
      <i/>
      <sz val="10"/>
      <color rgb="FF7030A0"/>
      <name val="ＭＳ Ｐゴシック"/>
      <family val="3"/>
      <charset val="128"/>
      <scheme val="minor"/>
    </font>
    <font>
      <b/>
      <sz val="11"/>
      <color theme="1" tint="0.249977111117893"/>
      <name val="ＭＳ Ｐゴシック"/>
      <family val="3"/>
      <charset val="128"/>
      <scheme val="minor"/>
    </font>
    <font>
      <i/>
      <sz val="10"/>
      <color rgb="FF7030A0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i/>
      <sz val="12"/>
      <color theme="1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i/>
      <sz val="9"/>
      <color rgb="FF7030A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FF"/>
      </left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rgb="FFFF00FF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rgb="FFFF00FF"/>
      </left>
      <right style="thin">
        <color rgb="FFFF00FF"/>
      </right>
      <top style="thin">
        <color rgb="FFFF00FF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92">
    <xf numFmtId="0" fontId="0" fillId="0" borderId="0">
      <alignment vertical="center"/>
    </xf>
    <xf numFmtId="0" fontId="13" fillId="0" borderId="0"/>
    <xf numFmtId="0" fontId="16" fillId="0" borderId="0">
      <alignment vertical="center"/>
    </xf>
    <xf numFmtId="0" fontId="12" fillId="0" borderId="0"/>
    <xf numFmtId="0" fontId="16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9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26" fillId="0" borderId="0"/>
    <xf numFmtId="0" fontId="2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0" fillId="0" borderId="0"/>
    <xf numFmtId="38" fontId="30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0" fontId="1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29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2" borderId="0" xfId="0" applyFill="1">
      <alignment vertical="center"/>
    </xf>
    <xf numFmtId="0" fontId="20" fillId="2" borderId="0" xfId="0" applyFont="1" applyFill="1" applyBorder="1" applyAlignment="1">
      <alignment horizontal="left" vertical="center"/>
    </xf>
    <xf numFmtId="0" fontId="31" fillId="0" borderId="0" xfId="0" applyFont="1">
      <alignment vertical="center"/>
    </xf>
    <xf numFmtId="0" fontId="31" fillId="0" borderId="0" xfId="0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176" fontId="32" fillId="0" borderId="0" xfId="0" applyNumberFormat="1" applyFont="1" applyBorder="1">
      <alignment vertical="center"/>
    </xf>
    <xf numFmtId="0" fontId="0" fillId="0" borderId="1" xfId="0" applyFont="1" applyFill="1" applyBorder="1" applyAlignment="1">
      <alignment horizontal="right" vertical="center"/>
    </xf>
    <xf numFmtId="0" fontId="17" fillId="0" borderId="8" xfId="0" applyFont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0" fillId="0" borderId="9" xfId="0" applyFont="1" applyBorder="1" applyAlignment="1">
      <alignment horizontal="right" vertical="center"/>
    </xf>
    <xf numFmtId="0" fontId="0" fillId="5" borderId="9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2" fontId="25" fillId="0" borderId="0" xfId="0" applyNumberFormat="1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quotePrefix="1">
      <alignment vertical="center"/>
    </xf>
    <xf numFmtId="2" fontId="37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178" fontId="37" fillId="0" borderId="0" xfId="0" applyNumberFormat="1" applyFont="1" applyBorder="1">
      <alignment vertical="center"/>
    </xf>
    <xf numFmtId="0" fontId="17" fillId="0" borderId="11" xfId="0" applyFont="1" applyFill="1" applyBorder="1" applyAlignment="1">
      <alignment horizontal="right" vertical="center"/>
    </xf>
    <xf numFmtId="2" fontId="32" fillId="0" borderId="0" xfId="0" applyNumberFormat="1" applyFont="1" applyFill="1" applyBorder="1" applyAlignment="1">
      <alignment vertical="center"/>
    </xf>
    <xf numFmtId="2" fontId="37" fillId="0" borderId="0" xfId="0" applyNumberFormat="1" applyFont="1" applyFill="1" applyBorder="1" applyAlignment="1">
      <alignment vertical="center"/>
    </xf>
    <xf numFmtId="1" fontId="17" fillId="0" borderId="0" xfId="0" applyNumberFormat="1" applyFont="1" applyBorder="1">
      <alignment vertical="center"/>
    </xf>
    <xf numFmtId="2" fontId="17" fillId="0" borderId="0" xfId="0" applyNumberFormat="1" applyFont="1" applyFill="1" applyBorder="1" applyAlignment="1">
      <alignment vertical="center"/>
    </xf>
    <xf numFmtId="0" fontId="39" fillId="0" borderId="0" xfId="0" applyFont="1" applyBorder="1">
      <alignment vertical="center"/>
    </xf>
    <xf numFmtId="177" fontId="17" fillId="0" borderId="0" xfId="0" applyNumberFormat="1" applyFo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quotePrefix="1" applyFont="1">
      <alignment vertical="center"/>
    </xf>
    <xf numFmtId="1" fontId="36" fillId="0" borderId="0" xfId="0" applyNumberFormat="1" applyFont="1">
      <alignment vertical="center"/>
    </xf>
    <xf numFmtId="0" fontId="17" fillId="0" borderId="9" xfId="0" applyFont="1" applyFill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13" xfId="0" applyFont="1" applyFill="1" applyBorder="1">
      <alignment vertical="center"/>
    </xf>
    <xf numFmtId="178" fontId="25" fillId="0" borderId="4" xfId="0" applyNumberFormat="1" applyFont="1" applyFill="1" applyBorder="1">
      <alignment vertical="center"/>
    </xf>
    <xf numFmtId="178" fontId="25" fillId="0" borderId="8" xfId="0" applyNumberFormat="1" applyFont="1" applyBorder="1">
      <alignment vertical="center"/>
    </xf>
    <xf numFmtId="179" fontId="17" fillId="0" borderId="0" xfId="0" applyNumberFormat="1" applyFont="1" applyBorder="1">
      <alignment vertical="center"/>
    </xf>
    <xf numFmtId="180" fontId="17" fillId="0" borderId="0" xfId="0" applyNumberFormat="1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41" fillId="2" borderId="0" xfId="0" applyFont="1" applyFill="1" applyBorder="1" applyAlignment="1">
      <alignment horizontal="right" vertical="center"/>
    </xf>
    <xf numFmtId="178" fontId="25" fillId="5" borderId="0" xfId="0" applyNumberFormat="1" applyFont="1" applyFill="1">
      <alignment vertical="center"/>
    </xf>
    <xf numFmtId="0" fontId="42" fillId="0" borderId="4" xfId="0" applyFont="1" applyFill="1" applyBorder="1" applyAlignment="1">
      <alignment horizontal="left" vertical="center"/>
    </xf>
    <xf numFmtId="0" fontId="42" fillId="0" borderId="5" xfId="0" applyFont="1" applyFill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178" fontId="45" fillId="5" borderId="0" xfId="0" applyNumberFormat="1" applyFont="1" applyFill="1">
      <alignment vertical="center"/>
    </xf>
    <xf numFmtId="178" fontId="46" fillId="5" borderId="0" xfId="0" applyNumberFormat="1" applyFont="1" applyFill="1">
      <alignment vertical="center"/>
    </xf>
    <xf numFmtId="0" fontId="17" fillId="0" borderId="0" xfId="0" applyFont="1" applyAlignment="1">
      <alignment horizontal="right" vertical="center"/>
    </xf>
    <xf numFmtId="0" fontId="35" fillId="0" borderId="0" xfId="0" quotePrefix="1" applyFont="1" applyBorder="1" applyAlignment="1">
      <alignment horizontal="right" vertical="center"/>
    </xf>
    <xf numFmtId="1" fontId="23" fillId="0" borderId="19" xfId="0" applyNumberFormat="1" applyFont="1" applyBorder="1">
      <alignment vertical="center"/>
    </xf>
    <xf numFmtId="0" fontId="17" fillId="0" borderId="0" xfId="0" applyFont="1" applyFill="1" applyBorder="1" applyAlignment="1">
      <alignment horizontal="right" vertical="center"/>
    </xf>
    <xf numFmtId="2" fontId="46" fillId="0" borderId="0" xfId="0" applyNumberFormat="1" applyFont="1">
      <alignment vertical="center"/>
    </xf>
    <xf numFmtId="1" fontId="47" fillId="0" borderId="0" xfId="0" applyNumberFormat="1" applyFont="1">
      <alignment vertical="center"/>
    </xf>
    <xf numFmtId="0" fontId="40" fillId="0" borderId="0" xfId="0" quotePrefix="1" applyFont="1" applyBorder="1" applyAlignment="1">
      <alignment horizontal="center" vertical="center"/>
    </xf>
    <xf numFmtId="178" fontId="33" fillId="0" borderId="0" xfId="0" applyNumberFormat="1" applyFont="1" applyBorder="1">
      <alignment vertical="center"/>
    </xf>
    <xf numFmtId="0" fontId="47" fillId="0" borderId="19" xfId="0" applyFont="1" applyBorder="1">
      <alignment vertical="center"/>
    </xf>
    <xf numFmtId="0" fontId="48" fillId="0" borderId="0" xfId="0" applyFont="1" applyAlignment="1">
      <alignment horizontal="center" vertical="center"/>
    </xf>
    <xf numFmtId="178" fontId="33" fillId="0" borderId="20" xfId="0" applyNumberFormat="1" applyFont="1" applyBorder="1">
      <alignment vertical="center"/>
    </xf>
    <xf numFmtId="0" fontId="17" fillId="0" borderId="21" xfId="0" quotePrefix="1" applyFont="1" applyBorder="1" applyAlignment="1">
      <alignment horizontal="center" vertical="center"/>
    </xf>
    <xf numFmtId="0" fontId="17" fillId="0" borderId="20" xfId="0" quotePrefix="1" applyFont="1" applyBorder="1" applyAlignment="1">
      <alignment horizontal="center" vertical="center"/>
    </xf>
    <xf numFmtId="181" fontId="49" fillId="0" borderId="0" xfId="0" applyNumberFormat="1" applyFont="1">
      <alignment vertical="center"/>
    </xf>
    <xf numFmtId="0" fontId="17" fillId="0" borderId="22" xfId="0" applyFont="1" applyBorder="1" applyAlignment="1">
      <alignment horizontal="center" vertical="center"/>
    </xf>
    <xf numFmtId="182" fontId="17" fillId="0" borderId="22" xfId="0" applyNumberFormat="1" applyFont="1" applyBorder="1" applyAlignment="1">
      <alignment horizontal="center" vertical="center"/>
    </xf>
    <xf numFmtId="1" fontId="15" fillId="0" borderId="20" xfId="0" applyNumberFormat="1" applyFont="1" applyBorder="1">
      <alignment vertical="center"/>
    </xf>
    <xf numFmtId="1" fontId="36" fillId="0" borderId="0" xfId="0" quotePrefix="1" applyNumberFormat="1" applyFont="1" applyBorder="1">
      <alignment vertical="center"/>
    </xf>
    <xf numFmtId="178" fontId="35" fillId="0" borderId="0" xfId="0" applyNumberFormat="1" applyFont="1">
      <alignment vertical="center"/>
    </xf>
    <xf numFmtId="177" fontId="38" fillId="0" borderId="0" xfId="0" applyNumberFormat="1" applyFont="1">
      <alignment vertical="center"/>
    </xf>
    <xf numFmtId="177" fontId="17" fillId="0" borderId="0" xfId="0" applyNumberFormat="1" applyFont="1" applyBorder="1">
      <alignment vertical="center"/>
    </xf>
    <xf numFmtId="178" fontId="50" fillId="0" borderId="20" xfId="0" applyNumberFormat="1" applyFont="1" applyBorder="1">
      <alignment vertical="center"/>
    </xf>
    <xf numFmtId="178" fontId="50" fillId="0" borderId="0" xfId="0" applyNumberFormat="1" applyFont="1">
      <alignment vertical="center"/>
    </xf>
    <xf numFmtId="0" fontId="51" fillId="0" borderId="0" xfId="0" quotePrefix="1" applyFont="1">
      <alignment vertical="center"/>
    </xf>
    <xf numFmtId="0" fontId="51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24" xfId="0" applyBorder="1">
      <alignment vertical="center"/>
    </xf>
    <xf numFmtId="0" fontId="52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53" fillId="0" borderId="26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9" fontId="31" fillId="0" borderId="28" xfId="0" applyNumberFormat="1" applyFont="1" applyBorder="1">
      <alignment vertical="center"/>
    </xf>
    <xf numFmtId="0" fontId="31" fillId="0" borderId="28" xfId="0" applyFont="1" applyBorder="1">
      <alignment vertical="center"/>
    </xf>
    <xf numFmtId="179" fontId="34" fillId="0" borderId="28" xfId="0" applyNumberFormat="1" applyFont="1" applyBorder="1" applyAlignment="1">
      <alignment horizontal="center" vertical="center"/>
    </xf>
    <xf numFmtId="180" fontId="34" fillId="0" borderId="28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right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2" fontId="0" fillId="0" borderId="24" xfId="0" applyNumberForma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2" fontId="42" fillId="0" borderId="0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quotePrefix="1" applyBorder="1">
      <alignment vertical="center"/>
    </xf>
    <xf numFmtId="2" fontId="0" fillId="0" borderId="27" xfId="0" applyNumberFormat="1" applyBorder="1" applyAlignment="1">
      <alignment horizontal="center" vertical="center"/>
    </xf>
    <xf numFmtId="0" fontId="0" fillId="0" borderId="0" xfId="0" quotePrefix="1" applyBorder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8" xfId="0" applyFont="1" applyBorder="1" applyAlignment="1">
      <alignment horizontal="left" vertical="center"/>
    </xf>
    <xf numFmtId="0" fontId="54" fillId="0" borderId="25" xfId="0" applyFont="1" applyBorder="1">
      <alignment vertical="center"/>
    </xf>
    <xf numFmtId="178" fontId="23" fillId="0" borderId="28" xfId="0" applyNumberFormat="1" applyFont="1" applyBorder="1">
      <alignment vertical="center"/>
    </xf>
    <xf numFmtId="0" fontId="0" fillId="0" borderId="30" xfId="0" quotePrefix="1" applyBorder="1">
      <alignment vertical="center"/>
    </xf>
    <xf numFmtId="2" fontId="0" fillId="0" borderId="31" xfId="0" applyNumberForma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77" fontId="22" fillId="0" borderId="27" xfId="0" applyNumberFormat="1" applyFont="1" applyBorder="1">
      <alignment vertical="center"/>
    </xf>
    <xf numFmtId="177" fontId="22" fillId="0" borderId="24" xfId="0" applyNumberFormat="1" applyFont="1" applyBorder="1">
      <alignment vertical="center"/>
    </xf>
    <xf numFmtId="177" fontId="22" fillId="0" borderId="31" xfId="0" applyNumberFormat="1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33" fillId="0" borderId="15" xfId="0" quotePrefix="1" applyFont="1" applyBorder="1" applyAlignment="1">
      <alignment horizontal="center" vertical="center"/>
    </xf>
    <xf numFmtId="0" fontId="42" fillId="0" borderId="15" xfId="0" quotePrefix="1" applyFont="1" applyBorder="1" applyAlignment="1">
      <alignment horizontal="center" vertical="center"/>
    </xf>
    <xf numFmtId="178" fontId="0" fillId="0" borderId="14" xfId="0" applyNumberFormat="1" applyFont="1" applyBorder="1" applyAlignment="1">
      <alignment horizontal="center" vertical="center"/>
    </xf>
    <xf numFmtId="178" fontId="0" fillId="0" borderId="15" xfId="0" applyNumberFormat="1" applyFont="1" applyBorder="1" applyAlignment="1">
      <alignment horizontal="center" vertical="center"/>
    </xf>
    <xf numFmtId="178" fontId="0" fillId="0" borderId="16" xfId="0" applyNumberFormat="1" applyFont="1" applyBorder="1" applyAlignment="1">
      <alignment horizontal="center" vertical="center"/>
    </xf>
    <xf numFmtId="0" fontId="0" fillId="0" borderId="28" xfId="0" applyFill="1" applyBorder="1">
      <alignment vertical="center"/>
    </xf>
    <xf numFmtId="178" fontId="0" fillId="0" borderId="25" xfId="0" applyNumberFormat="1" applyBorder="1">
      <alignment vertical="center"/>
    </xf>
    <xf numFmtId="178" fontId="0" fillId="0" borderId="28" xfId="0" applyNumberFormat="1" applyBorder="1">
      <alignment vertical="center"/>
    </xf>
    <xf numFmtId="178" fontId="0" fillId="0" borderId="29" xfId="0" applyNumberFormat="1" applyBorder="1">
      <alignment vertical="center"/>
    </xf>
    <xf numFmtId="0" fontId="0" fillId="0" borderId="29" xfId="0" applyFill="1" applyBorder="1">
      <alignment vertical="center"/>
    </xf>
    <xf numFmtId="0" fontId="0" fillId="0" borderId="31" xfId="0" applyFill="1" applyBorder="1">
      <alignment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48" fillId="0" borderId="14" xfId="0" applyFont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178" fontId="23" fillId="4" borderId="25" xfId="0" applyNumberFormat="1" applyFont="1" applyFill="1" applyBorder="1">
      <alignment vertical="center"/>
    </xf>
    <xf numFmtId="178" fontId="23" fillId="4" borderId="29" xfId="0" applyNumberFormat="1" applyFont="1" applyFill="1" applyBorder="1">
      <alignment vertical="center"/>
    </xf>
    <xf numFmtId="178" fontId="23" fillId="4" borderId="28" xfId="0" applyNumberFormat="1" applyFont="1" applyFill="1" applyBorder="1">
      <alignment vertical="center"/>
    </xf>
    <xf numFmtId="0" fontId="33" fillId="4" borderId="14" xfId="0" quotePrefix="1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42" fillId="4" borderId="30" xfId="0" applyFont="1" applyFill="1" applyBorder="1" applyAlignment="1">
      <alignment horizontal="center" vertical="center"/>
    </xf>
    <xf numFmtId="0" fontId="42" fillId="4" borderId="14" xfId="0" quotePrefix="1" applyFont="1" applyFill="1" applyBorder="1" applyAlignment="1">
      <alignment horizontal="center" vertical="center"/>
    </xf>
    <xf numFmtId="2" fontId="33" fillId="4" borderId="26" xfId="0" applyNumberFormat="1" applyFont="1" applyFill="1" applyBorder="1" applyAlignment="1">
      <alignment horizontal="center" vertical="center"/>
    </xf>
    <xf numFmtId="0" fontId="42" fillId="4" borderId="16" xfId="0" quotePrefix="1" applyFont="1" applyFill="1" applyBorder="1" applyAlignment="1">
      <alignment horizontal="center" vertical="center"/>
    </xf>
    <xf numFmtId="2" fontId="42" fillId="4" borderId="30" xfId="0" applyNumberFormat="1" applyFont="1" applyFill="1" applyBorder="1" applyAlignment="1">
      <alignment horizontal="center" vertical="center"/>
    </xf>
    <xf numFmtId="0" fontId="42" fillId="4" borderId="15" xfId="0" quotePrefix="1" applyFont="1" applyFill="1" applyBorder="1" applyAlignment="1">
      <alignment horizontal="center" vertical="center"/>
    </xf>
    <xf numFmtId="2" fontId="33" fillId="4" borderId="0" xfId="0" applyNumberFormat="1" applyFont="1" applyFill="1" applyBorder="1" applyAlignment="1">
      <alignment horizontal="center" vertical="center"/>
    </xf>
    <xf numFmtId="2" fontId="42" fillId="4" borderId="0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right" vertical="center"/>
    </xf>
    <xf numFmtId="183" fontId="0" fillId="0" borderId="0" xfId="0" applyNumberFormat="1">
      <alignment vertical="center"/>
    </xf>
    <xf numFmtId="0" fontId="24" fillId="0" borderId="30" xfId="0" applyFont="1" applyBorder="1">
      <alignment vertical="center"/>
    </xf>
    <xf numFmtId="0" fontId="23" fillId="0" borderId="28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52" fillId="3" borderId="32" xfId="0" applyFont="1" applyFill="1" applyBorder="1" applyAlignment="1">
      <alignment horizontal="center" vertical="center"/>
    </xf>
    <xf numFmtId="178" fontId="23" fillId="4" borderId="26" xfId="0" applyNumberFormat="1" applyFont="1" applyFill="1" applyBorder="1">
      <alignment vertical="center"/>
    </xf>
    <xf numFmtId="0" fontId="52" fillId="3" borderId="23" xfId="0" applyFont="1" applyFill="1" applyBorder="1" applyAlignment="1">
      <alignment horizontal="center" vertical="center"/>
    </xf>
    <xf numFmtId="178" fontId="23" fillId="0" borderId="33" xfId="0" applyNumberFormat="1" applyFont="1" applyFill="1" applyBorder="1">
      <alignment vertical="center"/>
    </xf>
    <xf numFmtId="177" fontId="22" fillId="0" borderId="34" xfId="0" applyNumberFormat="1" applyFont="1" applyFill="1" applyBorder="1">
      <alignment vertical="center"/>
    </xf>
    <xf numFmtId="0" fontId="0" fillId="0" borderId="34" xfId="0" quotePrefix="1" applyFill="1" applyBorder="1">
      <alignment vertical="center"/>
    </xf>
    <xf numFmtId="178" fontId="0" fillId="0" borderId="34" xfId="0" applyNumberFormat="1" applyFill="1" applyBorder="1">
      <alignment vertical="center"/>
    </xf>
    <xf numFmtId="177" fontId="22" fillId="0" borderId="35" xfId="0" applyNumberFormat="1" applyFont="1" applyFill="1" applyBorder="1">
      <alignment vertical="center"/>
    </xf>
    <xf numFmtId="2" fontId="0" fillId="0" borderId="22" xfId="0" applyNumberFormat="1" applyFill="1" applyBorder="1" applyAlignment="1">
      <alignment horizontal="center" vertical="center"/>
    </xf>
    <xf numFmtId="0" fontId="33" fillId="0" borderId="22" xfId="0" quotePrefix="1" applyFont="1" applyFill="1" applyBorder="1" applyAlignment="1">
      <alignment horizontal="center" vertical="center"/>
    </xf>
    <xf numFmtId="178" fontId="0" fillId="0" borderId="22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22" fillId="2" borderId="0" xfId="0" applyFont="1" applyFill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Border="1">
      <alignment vertical="center"/>
    </xf>
    <xf numFmtId="0" fontId="58" fillId="0" borderId="0" xfId="0" applyFont="1">
      <alignment vertical="center"/>
    </xf>
    <xf numFmtId="2" fontId="23" fillId="0" borderId="22" xfId="0" applyNumberFormat="1" applyFont="1" applyFill="1" applyBorder="1" applyAlignment="1">
      <alignment horizontal="center" vertical="center"/>
    </xf>
    <xf numFmtId="178" fontId="44" fillId="0" borderId="0" xfId="0" applyNumberFormat="1" applyFont="1" applyBorder="1">
      <alignment vertical="center"/>
    </xf>
    <xf numFmtId="2" fontId="44" fillId="0" borderId="0" xfId="0" applyNumberFormat="1" applyFont="1" applyBorder="1">
      <alignment vertical="center"/>
    </xf>
    <xf numFmtId="0" fontId="43" fillId="0" borderId="0" xfId="0" applyFont="1" applyBorder="1" applyAlignment="1">
      <alignment horizontal="center" vertical="center"/>
    </xf>
    <xf numFmtId="0" fontId="44" fillId="0" borderId="0" xfId="0" applyFont="1" applyBorder="1">
      <alignment vertical="center"/>
    </xf>
    <xf numFmtId="0" fontId="59" fillId="0" borderId="0" xfId="0" applyFont="1">
      <alignment vertical="center"/>
    </xf>
    <xf numFmtId="0" fontId="17" fillId="0" borderId="18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13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37" fillId="0" borderId="0" xfId="0" applyFont="1">
      <alignment vertical="center"/>
    </xf>
    <xf numFmtId="0" fontId="33" fillId="0" borderId="17" xfId="0" applyFont="1" applyBorder="1" applyAlignment="1">
      <alignment horizontal="center" vertical="center"/>
    </xf>
    <xf numFmtId="0" fontId="33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33" fillId="0" borderId="7" xfId="0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178" fontId="33" fillId="0" borderId="6" xfId="0" applyNumberFormat="1" applyFont="1" applyBorder="1">
      <alignment vertical="center"/>
    </xf>
    <xf numFmtId="0" fontId="0" fillId="0" borderId="8" xfId="0" applyFont="1" applyBorder="1">
      <alignment vertical="center"/>
    </xf>
  </cellXfs>
  <cellStyles count="92">
    <cellStyle name="Normal_calc" xfId="1" xr:uid="{00000000-0005-0000-0000-000000000000}"/>
    <cellStyle name="パーセント 2" xfId="13" xr:uid="{00000000-0005-0000-0000-000001000000}"/>
    <cellStyle name="桁区切り 2" xfId="9" xr:uid="{00000000-0005-0000-0000-000002000000}"/>
    <cellStyle name="桁区切り 2 2" xfId="22" xr:uid="{00000000-0005-0000-0000-000003000000}"/>
    <cellStyle name="桁区切り 2 2 2" xfId="45" xr:uid="{00000000-0005-0000-0000-000004000000}"/>
    <cellStyle name="桁区切り 2 2 3" xfId="53" xr:uid="{00000000-0005-0000-0000-000005000000}"/>
    <cellStyle name="桁区切り 2 2 4" xfId="54" xr:uid="{00000000-0005-0000-0000-000006000000}"/>
    <cellStyle name="桁区切り 2 3" xfId="24" xr:uid="{00000000-0005-0000-0000-000007000000}"/>
    <cellStyle name="桁区切り 2 4" xfId="28" xr:uid="{00000000-0005-0000-0000-000008000000}"/>
    <cellStyle name="桁区切り 2 5" xfId="39" xr:uid="{00000000-0005-0000-0000-000009000000}"/>
    <cellStyle name="桁区切り 2 6" xfId="55" xr:uid="{00000000-0005-0000-0000-00000A000000}"/>
    <cellStyle name="桁区切り 2 7" xfId="56" xr:uid="{00000000-0005-0000-0000-00000B000000}"/>
    <cellStyle name="標準" xfId="0" builtinId="0"/>
    <cellStyle name="標準 10" xfId="16" xr:uid="{00000000-0005-0000-0000-00000D000000}"/>
    <cellStyle name="標準 2" xfId="2" xr:uid="{00000000-0005-0000-0000-00000E000000}"/>
    <cellStyle name="標準 2 2" xfId="14" xr:uid="{00000000-0005-0000-0000-00000F000000}"/>
    <cellStyle name="標準 2 3" xfId="29" xr:uid="{00000000-0005-0000-0000-000010000000}"/>
    <cellStyle name="標準 2 3 2" xfId="49" xr:uid="{00000000-0005-0000-0000-000011000000}"/>
    <cellStyle name="標準 2 3 3" xfId="57" xr:uid="{00000000-0005-0000-0000-000012000000}"/>
    <cellStyle name="標準 2 3 4" xfId="58" xr:uid="{00000000-0005-0000-0000-000013000000}"/>
    <cellStyle name="標準 2 4" xfId="89" xr:uid="{00000000-0005-0000-0000-000014000000}"/>
    <cellStyle name="標準 3" xfId="3" xr:uid="{00000000-0005-0000-0000-000015000000}"/>
    <cellStyle name="標準 3 2" xfId="12" xr:uid="{00000000-0005-0000-0000-000016000000}"/>
    <cellStyle name="標準 3 2 2" xfId="17" xr:uid="{00000000-0005-0000-0000-000017000000}"/>
    <cellStyle name="標準 3 2 3" xfId="40" xr:uid="{00000000-0005-0000-0000-000018000000}"/>
    <cellStyle name="標準 3 2 4" xfId="59" xr:uid="{00000000-0005-0000-0000-000019000000}"/>
    <cellStyle name="標準 3 2 5" xfId="60" xr:uid="{00000000-0005-0000-0000-00001A000000}"/>
    <cellStyle name="標準 3 2 6" xfId="87" xr:uid="{00000000-0005-0000-0000-00001B000000}"/>
    <cellStyle name="標準 3 2 7" xfId="90" xr:uid="{00000000-0005-0000-0000-00001C000000}"/>
    <cellStyle name="標準 3 3" xfId="15" xr:uid="{00000000-0005-0000-0000-00001D000000}"/>
    <cellStyle name="標準 3 3 2" xfId="41" xr:uid="{00000000-0005-0000-0000-00001E000000}"/>
    <cellStyle name="標準 3 3 3" xfId="61" xr:uid="{00000000-0005-0000-0000-00001F000000}"/>
    <cellStyle name="標準 3 3 4" xfId="62" xr:uid="{00000000-0005-0000-0000-000020000000}"/>
    <cellStyle name="標準 3 3 5" xfId="88" xr:uid="{00000000-0005-0000-0000-000021000000}"/>
    <cellStyle name="標準 3 3 6" xfId="91" xr:uid="{00000000-0005-0000-0000-000022000000}"/>
    <cellStyle name="標準 3 4" xfId="18" xr:uid="{00000000-0005-0000-0000-000023000000}"/>
    <cellStyle name="標準 3 5" xfId="30" xr:uid="{00000000-0005-0000-0000-000024000000}"/>
    <cellStyle name="標準 3 5 2" xfId="50" xr:uid="{00000000-0005-0000-0000-000025000000}"/>
    <cellStyle name="標準 3 5 3" xfId="63" xr:uid="{00000000-0005-0000-0000-000026000000}"/>
    <cellStyle name="標準 3 5 4" xfId="64" xr:uid="{00000000-0005-0000-0000-000027000000}"/>
    <cellStyle name="標準 4" xfId="4" xr:uid="{00000000-0005-0000-0000-000028000000}"/>
    <cellStyle name="標準 4 2" xfId="31" xr:uid="{00000000-0005-0000-0000-000029000000}"/>
    <cellStyle name="標準 4 2 2" xfId="51" xr:uid="{00000000-0005-0000-0000-00002A000000}"/>
    <cellStyle name="標準 4 2 3" xfId="65" xr:uid="{00000000-0005-0000-0000-00002B000000}"/>
    <cellStyle name="標準 4 2 4" xfId="66" xr:uid="{00000000-0005-0000-0000-00002C000000}"/>
    <cellStyle name="標準 5" xfId="5" xr:uid="{00000000-0005-0000-0000-00002D000000}"/>
    <cellStyle name="標準 5 2" xfId="10" xr:uid="{00000000-0005-0000-0000-00002E000000}"/>
    <cellStyle name="標準 5 3" xfId="23" xr:uid="{00000000-0005-0000-0000-00002F000000}"/>
    <cellStyle name="標準 5 4" xfId="32" xr:uid="{00000000-0005-0000-0000-000030000000}"/>
    <cellStyle name="標準 5 4 2" xfId="52" xr:uid="{00000000-0005-0000-0000-000031000000}"/>
    <cellStyle name="標準 5 4 3" xfId="67" xr:uid="{00000000-0005-0000-0000-000032000000}"/>
    <cellStyle name="標準 5 4 4" xfId="68" xr:uid="{00000000-0005-0000-0000-000033000000}"/>
    <cellStyle name="標準 6" xfId="7" xr:uid="{00000000-0005-0000-0000-000034000000}"/>
    <cellStyle name="標準 6 2" xfId="20" xr:uid="{00000000-0005-0000-0000-000035000000}"/>
    <cellStyle name="標準 6 2 2" xfId="43" xr:uid="{00000000-0005-0000-0000-000036000000}"/>
    <cellStyle name="標準 6 2 3" xfId="69" xr:uid="{00000000-0005-0000-0000-000037000000}"/>
    <cellStyle name="標準 6 2 4" xfId="70" xr:uid="{00000000-0005-0000-0000-000038000000}"/>
    <cellStyle name="標準 6 3" xfId="25" xr:uid="{00000000-0005-0000-0000-000039000000}"/>
    <cellStyle name="標準 6 3 2" xfId="46" xr:uid="{00000000-0005-0000-0000-00003A000000}"/>
    <cellStyle name="標準 6 3 3" xfId="71" xr:uid="{00000000-0005-0000-0000-00003B000000}"/>
    <cellStyle name="標準 6 3 4" xfId="72" xr:uid="{00000000-0005-0000-0000-00003C000000}"/>
    <cellStyle name="標準 6 4" xfId="33" xr:uid="{00000000-0005-0000-0000-00003D000000}"/>
    <cellStyle name="標準 6 5" xfId="37" xr:uid="{00000000-0005-0000-0000-00003E000000}"/>
    <cellStyle name="標準 6 6" xfId="73" xr:uid="{00000000-0005-0000-0000-00003F000000}"/>
    <cellStyle name="標準 6 7" xfId="74" xr:uid="{00000000-0005-0000-0000-000040000000}"/>
    <cellStyle name="標準 7" xfId="6" xr:uid="{00000000-0005-0000-0000-000041000000}"/>
    <cellStyle name="標準 7 2" xfId="19" xr:uid="{00000000-0005-0000-0000-000042000000}"/>
    <cellStyle name="標準 7 2 2" xfId="42" xr:uid="{00000000-0005-0000-0000-000043000000}"/>
    <cellStyle name="標準 7 2 3" xfId="75" xr:uid="{00000000-0005-0000-0000-000044000000}"/>
    <cellStyle name="標準 7 2 4" xfId="76" xr:uid="{00000000-0005-0000-0000-000045000000}"/>
    <cellStyle name="標準 7 3" xfId="26" xr:uid="{00000000-0005-0000-0000-000046000000}"/>
    <cellStyle name="標準 7 3 2" xfId="47" xr:uid="{00000000-0005-0000-0000-000047000000}"/>
    <cellStyle name="標準 7 3 3" xfId="77" xr:uid="{00000000-0005-0000-0000-000048000000}"/>
    <cellStyle name="標準 7 3 4" xfId="78" xr:uid="{00000000-0005-0000-0000-000049000000}"/>
    <cellStyle name="標準 7 4" xfId="34" xr:uid="{00000000-0005-0000-0000-00004A000000}"/>
    <cellStyle name="標準 7 5" xfId="36" xr:uid="{00000000-0005-0000-0000-00004B000000}"/>
    <cellStyle name="標準 7 6" xfId="79" xr:uid="{00000000-0005-0000-0000-00004C000000}"/>
    <cellStyle name="標準 7 7" xfId="80" xr:uid="{00000000-0005-0000-0000-00004D000000}"/>
    <cellStyle name="標準 8" xfId="8" xr:uid="{00000000-0005-0000-0000-00004E000000}"/>
    <cellStyle name="標準 8 2" xfId="21" xr:uid="{00000000-0005-0000-0000-00004F000000}"/>
    <cellStyle name="標準 8 2 2" xfId="44" xr:uid="{00000000-0005-0000-0000-000050000000}"/>
    <cellStyle name="標準 8 2 3" xfId="81" xr:uid="{00000000-0005-0000-0000-000051000000}"/>
    <cellStyle name="標準 8 2 4" xfId="82" xr:uid="{00000000-0005-0000-0000-000052000000}"/>
    <cellStyle name="標準 8 3" xfId="27" xr:uid="{00000000-0005-0000-0000-000053000000}"/>
    <cellStyle name="標準 8 3 2" xfId="48" xr:uid="{00000000-0005-0000-0000-000054000000}"/>
    <cellStyle name="標準 8 3 3" xfId="83" xr:uid="{00000000-0005-0000-0000-000055000000}"/>
    <cellStyle name="標準 8 3 4" xfId="84" xr:uid="{00000000-0005-0000-0000-000056000000}"/>
    <cellStyle name="標準 8 4" xfId="35" xr:uid="{00000000-0005-0000-0000-000057000000}"/>
    <cellStyle name="標準 8 5" xfId="38" xr:uid="{00000000-0005-0000-0000-000058000000}"/>
    <cellStyle name="標準 8 6" xfId="85" xr:uid="{00000000-0005-0000-0000-000059000000}"/>
    <cellStyle name="標準 8 7" xfId="86" xr:uid="{00000000-0005-0000-0000-00005A000000}"/>
    <cellStyle name="標準 9" xfId="11" xr:uid="{00000000-0005-0000-0000-00005B000000}"/>
  </cellStyles>
  <dxfs count="0"/>
  <tableStyles count="0" defaultTableStyle="TableStyleMedium9" defaultPivotStyle="PivotStyleLight16"/>
  <colors>
    <mruColors>
      <color rgb="FF0000FF"/>
      <color rgb="FF008000"/>
      <color rgb="FFFF00FF"/>
      <color rgb="FFFFFFCC"/>
      <color rgb="FFCCFFCC"/>
      <color rgb="FFFF6600"/>
      <color rgb="FFFFCCCC"/>
      <color rgb="FFCCFF99"/>
      <color rgb="FFFFCC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SRIMfi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Log"/>
      <sheetName val="FncHelp"/>
      <sheetName val="FncLst1_J"/>
      <sheetName val="FncLst2a_J "/>
      <sheetName val="FncLst2b_J"/>
    </sheetNames>
    <definedNames>
      <definedName name="srE2LETt"/>
      <definedName name="srE2Rng"/>
      <definedName name="srEnew"/>
      <definedName name="srEnewGas"/>
      <definedName name="srEold"/>
      <definedName name="srInfoIonA"/>
      <definedName name="srInfoIonZ"/>
      <definedName name="srLETt2E"/>
      <definedName name="srMaxLETt"/>
      <definedName name="srThkStd"/>
    </defined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"/>
  <sheetViews>
    <sheetView tabSelected="1" zoomScale="80" zoomScaleNormal="80" zoomScaleSheetLayoutView="80" workbookViewId="0">
      <selection activeCell="K13" sqref="K13"/>
    </sheetView>
  </sheetViews>
  <sheetFormatPr defaultColWidth="9" defaultRowHeight="13"/>
  <cols>
    <col min="1" max="1" width="2.08984375" style="9" customWidth="1"/>
    <col min="2" max="2" width="8.36328125" style="9" customWidth="1"/>
    <col min="3" max="3" width="8.08984375" style="9" customWidth="1"/>
    <col min="4" max="4" width="5.7265625" style="9" customWidth="1"/>
    <col min="5" max="6" width="7.7265625" style="9" customWidth="1"/>
    <col min="7" max="7" width="1.7265625" style="9" customWidth="1"/>
    <col min="8" max="8" width="9.453125" style="9" customWidth="1"/>
    <col min="9" max="9" width="11.6328125" style="9" customWidth="1"/>
    <col min="10" max="10" width="7.08984375" style="9" customWidth="1"/>
    <col min="11" max="11" width="5.7265625" style="9" customWidth="1"/>
    <col min="12" max="13" width="10.453125" style="9" customWidth="1"/>
    <col min="14" max="14" width="9.453125" style="9" customWidth="1"/>
    <col min="15" max="15" width="2.08984375" style="9" customWidth="1"/>
    <col min="16" max="16" width="5.6328125" style="3" customWidth="1"/>
    <col min="17" max="23" width="7.7265625" style="9" customWidth="1"/>
    <col min="24" max="16384" width="9" style="9"/>
  </cols>
  <sheetData>
    <row r="1" spans="2:19" s="14" customFormat="1" ht="9" customHeight="1">
      <c r="J1" s="15"/>
      <c r="K1" s="15"/>
      <c r="L1" s="15"/>
    </row>
    <row r="2" spans="2:19" s="12" customFormat="1" ht="19">
      <c r="C2" s="13" t="s">
        <v>133</v>
      </c>
      <c r="D2" s="13"/>
      <c r="L2" s="13"/>
      <c r="P2" s="193"/>
    </row>
    <row r="3" spans="2:19" ht="7.5" customHeight="1"/>
    <row r="5" spans="2:19" ht="16.5">
      <c r="B5" s="122"/>
      <c r="C5" s="132" t="s">
        <v>94</v>
      </c>
      <c r="D5" s="103"/>
      <c r="E5" s="104"/>
      <c r="F5" s="105"/>
      <c r="H5" s="132" t="s">
        <v>92</v>
      </c>
      <c r="I5" s="104"/>
      <c r="J5" s="104"/>
      <c r="K5" s="104"/>
      <c r="L5" s="179" t="s">
        <v>118</v>
      </c>
      <c r="M5" s="104"/>
      <c r="N5" s="105"/>
    </row>
    <row r="6" spans="2:19" ht="16.5">
      <c r="B6" s="123"/>
      <c r="C6" s="114"/>
      <c r="D6" s="177" t="s">
        <v>95</v>
      </c>
      <c r="E6" s="115"/>
      <c r="F6" s="116"/>
      <c r="H6" s="114"/>
      <c r="I6" s="115"/>
      <c r="J6" s="120"/>
      <c r="K6" s="120" t="s">
        <v>96</v>
      </c>
      <c r="L6" s="180">
        <v>50</v>
      </c>
      <c r="M6" s="115" t="s">
        <v>97</v>
      </c>
      <c r="N6" s="116"/>
    </row>
    <row r="7" spans="2:19" ht="15" customHeight="1">
      <c r="B7" s="123"/>
      <c r="C7" s="102"/>
      <c r="D7" s="105"/>
      <c r="E7" s="156" t="s">
        <v>80</v>
      </c>
      <c r="F7" s="105"/>
      <c r="G7" s="8"/>
      <c r="H7" s="129"/>
      <c r="I7" s="156" t="s">
        <v>107</v>
      </c>
      <c r="J7" s="158"/>
      <c r="K7" s="159"/>
      <c r="L7" s="101"/>
      <c r="M7" s="122"/>
      <c r="N7" s="156" t="s">
        <v>108</v>
      </c>
    </row>
    <row r="8" spans="2:19">
      <c r="B8" s="140" t="s">
        <v>106</v>
      </c>
      <c r="C8" s="106"/>
      <c r="D8" s="100"/>
      <c r="E8" s="129"/>
      <c r="F8" s="100"/>
      <c r="G8" s="8"/>
      <c r="H8" s="129"/>
      <c r="I8" s="129" t="s">
        <v>86</v>
      </c>
      <c r="J8" s="106"/>
      <c r="K8" s="100"/>
      <c r="L8" s="8"/>
      <c r="M8" s="129"/>
      <c r="N8" s="123" t="s">
        <v>102</v>
      </c>
    </row>
    <row r="9" spans="2:19" s="97" customFormat="1">
      <c r="B9" s="140" t="s">
        <v>104</v>
      </c>
      <c r="C9" s="178" t="s">
        <v>79</v>
      </c>
      <c r="D9" s="136"/>
      <c r="E9" s="123" t="s">
        <v>91</v>
      </c>
      <c r="F9" s="108" t="s">
        <v>83</v>
      </c>
      <c r="G9" s="5"/>
      <c r="H9" s="140" t="s">
        <v>84</v>
      </c>
      <c r="I9" s="123" t="s">
        <v>87</v>
      </c>
      <c r="J9" s="131" t="s">
        <v>79</v>
      </c>
      <c r="K9" s="108"/>
      <c r="L9" s="128" t="s">
        <v>93</v>
      </c>
      <c r="M9" s="123" t="s">
        <v>99</v>
      </c>
      <c r="N9" s="123" t="s">
        <v>103</v>
      </c>
      <c r="P9" s="4"/>
    </row>
    <row r="10" spans="2:19" s="97" customFormat="1">
      <c r="B10" s="140" t="s">
        <v>105</v>
      </c>
      <c r="C10" s="107" t="s">
        <v>89</v>
      </c>
      <c r="D10" s="108"/>
      <c r="E10" s="123" t="s">
        <v>101</v>
      </c>
      <c r="F10" s="108" t="s">
        <v>100</v>
      </c>
      <c r="G10" s="5"/>
      <c r="H10" s="140" t="s">
        <v>85</v>
      </c>
      <c r="I10" s="123" t="s">
        <v>119</v>
      </c>
      <c r="J10" s="107" t="s">
        <v>90</v>
      </c>
      <c r="K10" s="108"/>
      <c r="L10" s="128" t="s">
        <v>109</v>
      </c>
      <c r="M10" s="123" t="s">
        <v>100</v>
      </c>
      <c r="N10" s="123" t="s">
        <v>110</v>
      </c>
      <c r="P10" s="4"/>
    </row>
    <row r="11" spans="2:19" s="97" customFormat="1">
      <c r="B11" s="124"/>
      <c r="C11" s="107" t="s">
        <v>81</v>
      </c>
      <c r="D11" s="136" t="s">
        <v>34</v>
      </c>
      <c r="E11" s="123"/>
      <c r="F11" s="108" t="s">
        <v>82</v>
      </c>
      <c r="G11" s="155"/>
      <c r="H11" s="157" t="s">
        <v>88</v>
      </c>
      <c r="I11" s="123" t="s">
        <v>82</v>
      </c>
      <c r="J11" s="107" t="s">
        <v>81</v>
      </c>
      <c r="K11" s="136" t="s">
        <v>34</v>
      </c>
      <c r="L11" s="98"/>
      <c r="M11" s="123" t="s">
        <v>82</v>
      </c>
      <c r="N11" s="160"/>
      <c r="P11" s="4"/>
    </row>
    <row r="12" spans="2:19" ht="2.25" customHeight="1">
      <c r="B12" s="106"/>
      <c r="C12" s="106"/>
      <c r="D12" s="100"/>
      <c r="E12" s="129"/>
      <c r="F12" s="100"/>
      <c r="H12" s="129"/>
      <c r="I12" s="129"/>
      <c r="J12" s="146"/>
      <c r="K12" s="100"/>
      <c r="L12" s="2"/>
      <c r="M12" s="129"/>
      <c r="N12" s="129"/>
    </row>
    <row r="13" spans="2:19" ht="16.5">
      <c r="B13" s="182" t="s">
        <v>18</v>
      </c>
      <c r="C13" s="181">
        <f>D13*$B$16</f>
        <v>752.39728582651935</v>
      </c>
      <c r="D13" s="137">
        <f t="shared" ref="D13:D24" si="0">[1]!srEold($B$15,K13,I13)</f>
        <v>8.9571105455538014</v>
      </c>
      <c r="E13" s="152">
        <f t="shared" ref="E13:E24" si="1">[1]!srE2LETt($B$15,D13,0)</f>
        <v>32.683600265184936</v>
      </c>
      <c r="F13" s="126">
        <f t="shared" ref="F13:F24" si="2">[1]!srE2Rng($B$15,D13)</f>
        <v>92.090722543352584</v>
      </c>
      <c r="G13" s="125"/>
      <c r="H13" s="164">
        <v>0</v>
      </c>
      <c r="I13" s="143">
        <f>$L$6/COS(RADIANS(H13))</f>
        <v>50</v>
      </c>
      <c r="J13" s="147">
        <f>K13*$B$16</f>
        <v>333.30924855491321</v>
      </c>
      <c r="K13" s="137">
        <f>[1]!srLETt2E($B$15,L13,0,1)</f>
        <v>3.9679672447013479</v>
      </c>
      <c r="L13" s="165">
        <v>39.82</v>
      </c>
      <c r="M13" s="152">
        <f t="shared" ref="M13:M24" si="3">[1]!srE2Rng($B$15,K13)</f>
        <v>42.090722543352591</v>
      </c>
      <c r="N13" s="152">
        <f>L13/COS(RADIANS(H13))</f>
        <v>39.82</v>
      </c>
      <c r="P13" s="3" t="s">
        <v>139</v>
      </c>
    </row>
    <row r="14" spans="2:19">
      <c r="B14" s="109" t="s">
        <v>98</v>
      </c>
      <c r="C14" s="133">
        <f t="shared" ref="C14:C24" si="4">D14*$B$16</f>
        <v>904.06740482811085</v>
      </c>
      <c r="D14" s="138">
        <f t="shared" si="0"/>
        <v>10.762707200334653</v>
      </c>
      <c r="E14" s="153">
        <f t="shared" si="1"/>
        <v>30.30086941111216</v>
      </c>
      <c r="F14" s="117">
        <f t="shared" si="2"/>
        <v>112.80140066200731</v>
      </c>
      <c r="G14" s="127"/>
      <c r="H14" s="141">
        <v>45</v>
      </c>
      <c r="I14" s="144">
        <f t="shared" ref="I14:I24" si="5">$L$6/COS(RADIANS(H14))</f>
        <v>70.710678118654741</v>
      </c>
      <c r="J14" s="148">
        <f t="shared" ref="J14:J24" si="6">K14*$B$16</f>
        <v>333.30924855491321</v>
      </c>
      <c r="K14" s="138">
        <f>[1]!srLETt2E($B$15,L14,0,1)</f>
        <v>3.9679672447013479</v>
      </c>
      <c r="L14" s="118">
        <f>L13</f>
        <v>39.82</v>
      </c>
      <c r="M14" s="153">
        <f t="shared" si="3"/>
        <v>42.090722543352591</v>
      </c>
      <c r="N14" s="153">
        <f t="shared" ref="N14:N15" si="7">L14/COS(RADIANS(H14))</f>
        <v>56.313984053696643</v>
      </c>
    </row>
    <row r="15" spans="2:19">
      <c r="B15" s="110" t="str">
        <f>"srim"&amp;B13&amp;"_Si"</f>
        <v>srim84Kr_Si</v>
      </c>
      <c r="C15" s="162">
        <f t="shared" si="4"/>
        <v>1100.5051473301162</v>
      </c>
      <c r="D15" s="139">
        <f t="shared" si="0"/>
        <v>13.101251753929954</v>
      </c>
      <c r="E15" s="154">
        <f t="shared" si="1"/>
        <v>27.580140575556875</v>
      </c>
      <c r="F15" s="135">
        <f t="shared" si="2"/>
        <v>142.09072254335257</v>
      </c>
      <c r="G15" s="134"/>
      <c r="H15" s="166">
        <v>60</v>
      </c>
      <c r="I15" s="145">
        <f t="shared" si="5"/>
        <v>99.999999999999972</v>
      </c>
      <c r="J15" s="149">
        <f t="shared" si="6"/>
        <v>333.30924855491321</v>
      </c>
      <c r="K15" s="139">
        <f>[1]!srLETt2E($B$15,L15,0,1)</f>
        <v>3.9679672447013479</v>
      </c>
      <c r="L15" s="167">
        <f>L13</f>
        <v>39.82</v>
      </c>
      <c r="M15" s="154">
        <f t="shared" si="3"/>
        <v>42.090722543352591</v>
      </c>
      <c r="N15" s="154">
        <f t="shared" si="7"/>
        <v>79.639999999999986</v>
      </c>
    </row>
    <row r="16" spans="2:19">
      <c r="B16" s="111">
        <f>[1]!srInfoIonA(B15)</f>
        <v>84</v>
      </c>
      <c r="C16" s="161">
        <f>D16*$B$16</f>
        <v>1306.9925411098156</v>
      </c>
      <c r="D16" s="137">
        <f t="shared" si="0"/>
        <v>15.55943501321209</v>
      </c>
      <c r="E16" s="152">
        <f t="shared" si="1"/>
        <v>25.140635385476948</v>
      </c>
      <c r="F16" s="126">
        <f t="shared" si="2"/>
        <v>175.92089767777378</v>
      </c>
      <c r="G16" s="125"/>
      <c r="H16" s="168">
        <f>H$13</f>
        <v>0</v>
      </c>
      <c r="I16" s="143">
        <f>$L$6/COS(RADIANS(H16))</f>
        <v>50</v>
      </c>
      <c r="J16" s="147">
        <f>K16*$B$16</f>
        <v>994.29778320339597</v>
      </c>
      <c r="K16" s="137">
        <f>[1]!srLETt2E($B$15,L16,0,1)</f>
        <v>11.836878371469</v>
      </c>
      <c r="L16" s="169">
        <v>29</v>
      </c>
      <c r="M16" s="152">
        <f t="shared" si="3"/>
        <v>125.92089767777378</v>
      </c>
      <c r="N16" s="152">
        <f>L16/COS(RADIANS(H16))</f>
        <v>29</v>
      </c>
      <c r="P16" s="3" t="s">
        <v>140</v>
      </c>
      <c r="S16" s="8"/>
    </row>
    <row r="17" spans="1:21">
      <c r="B17" s="112">
        <f>[1]!srInfoIonZ(B15)</f>
        <v>36</v>
      </c>
      <c r="C17" s="133">
        <f t="shared" si="4"/>
        <v>1424.5556056915352</v>
      </c>
      <c r="D17" s="138">
        <f t="shared" si="0"/>
        <v>16.958995305851609</v>
      </c>
      <c r="E17" s="153">
        <f t="shared" si="1"/>
        <v>23.922383530498564</v>
      </c>
      <c r="F17" s="117">
        <f t="shared" si="2"/>
        <v>196.63157579642854</v>
      </c>
      <c r="G17" s="127"/>
      <c r="H17" s="142">
        <f>H$14</f>
        <v>45</v>
      </c>
      <c r="I17" s="144">
        <f t="shared" si="5"/>
        <v>70.710678118654741</v>
      </c>
      <c r="J17" s="148">
        <f t="shared" si="6"/>
        <v>994.29778320339597</v>
      </c>
      <c r="K17" s="138">
        <f>[1]!srLETt2E($B$15,L17,0,1)</f>
        <v>11.836878371469</v>
      </c>
      <c r="L17" s="119">
        <f>L16</f>
        <v>29</v>
      </c>
      <c r="M17" s="153">
        <f t="shared" si="3"/>
        <v>125.92089767777378</v>
      </c>
      <c r="N17" s="153">
        <f t="shared" ref="N17:N18" si="8">L17/COS(RADIANS(H17))</f>
        <v>41.012193308819754</v>
      </c>
    </row>
    <row r="18" spans="1:21">
      <c r="B18" s="106"/>
      <c r="C18" s="162">
        <f t="shared" si="4"/>
        <v>1582.0627845792812</v>
      </c>
      <c r="D18" s="139">
        <f t="shared" si="0"/>
        <v>18.834080768800966</v>
      </c>
      <c r="E18" s="154">
        <f t="shared" si="1"/>
        <v>22.443308705572871</v>
      </c>
      <c r="F18" s="135">
        <f t="shared" si="2"/>
        <v>225.92089767777378</v>
      </c>
      <c r="G18" s="134"/>
      <c r="H18" s="170">
        <f>H$15</f>
        <v>60</v>
      </c>
      <c r="I18" s="145">
        <f t="shared" si="5"/>
        <v>99.999999999999972</v>
      </c>
      <c r="J18" s="149">
        <f t="shared" si="6"/>
        <v>994.29778320339597</v>
      </c>
      <c r="K18" s="139">
        <f>[1]!srLETt2E($B$15,L18,0,1)</f>
        <v>11.836878371469</v>
      </c>
      <c r="L18" s="171">
        <f>L16</f>
        <v>29</v>
      </c>
      <c r="M18" s="154">
        <f t="shared" si="3"/>
        <v>125.92089767777378</v>
      </c>
      <c r="N18" s="154">
        <f t="shared" si="8"/>
        <v>57.999999999999986</v>
      </c>
    </row>
    <row r="19" spans="1:21">
      <c r="B19" s="106"/>
      <c r="C19" s="161">
        <f>D19*$B$16</f>
        <v>2665.6965269300586</v>
      </c>
      <c r="D19" s="137">
        <f t="shared" si="0"/>
        <v>31.734482463453077</v>
      </c>
      <c r="E19" s="152">
        <f t="shared" si="1"/>
        <v>16.224687058026394</v>
      </c>
      <c r="F19" s="126">
        <f t="shared" si="2"/>
        <v>475.81481444368256</v>
      </c>
      <c r="G19" s="125"/>
      <c r="H19" s="168">
        <f>H$13</f>
        <v>0</v>
      </c>
      <c r="I19" s="143">
        <f>$L$6/COS(RADIANS(H19))</f>
        <v>50</v>
      </c>
      <c r="J19" s="147">
        <f>K19*$B$16</f>
        <v>2474.0695814215137</v>
      </c>
      <c r="K19" s="137">
        <f>[1]!srLETt2E($B$15,L19,0,1)</f>
        <v>29.45320930263707</v>
      </c>
      <c r="L19" s="169">
        <v>17</v>
      </c>
      <c r="M19" s="152">
        <f t="shared" si="3"/>
        <v>425.81481444368256</v>
      </c>
      <c r="N19" s="152">
        <f>L19/COS(RADIANS(H19))</f>
        <v>17</v>
      </c>
      <c r="P19" s="3" t="s">
        <v>141</v>
      </c>
    </row>
    <row r="20" spans="1:21">
      <c r="B20" s="106"/>
      <c r="C20" s="133">
        <f t="shared" si="4"/>
        <v>2744.4323774419763</v>
      </c>
      <c r="D20" s="138">
        <f t="shared" si="0"/>
        <v>32.671814017166383</v>
      </c>
      <c r="E20" s="153">
        <f t="shared" si="1"/>
        <v>15.909540832427806</v>
      </c>
      <c r="F20" s="117">
        <f t="shared" si="2"/>
        <v>496.52549256233738</v>
      </c>
      <c r="G20" s="127"/>
      <c r="H20" s="142">
        <f>H$14</f>
        <v>45</v>
      </c>
      <c r="I20" s="144">
        <f t="shared" si="5"/>
        <v>70.710678118654741</v>
      </c>
      <c r="J20" s="148">
        <f t="shared" si="6"/>
        <v>2474.0695814215137</v>
      </c>
      <c r="K20" s="138">
        <f>[1]!srLETt2E($B$15,L20,0,1)</f>
        <v>29.45320930263707</v>
      </c>
      <c r="L20" s="119">
        <f>L19</f>
        <v>17</v>
      </c>
      <c r="M20" s="153">
        <f t="shared" si="3"/>
        <v>425.81481444368256</v>
      </c>
      <c r="N20" s="153">
        <f t="shared" ref="N20:N21" si="9">L20/COS(RADIANS(H20))</f>
        <v>24.041630560342615</v>
      </c>
    </row>
    <row r="21" spans="1:21">
      <c r="A21" s="8"/>
      <c r="B21" s="106"/>
      <c r="C21" s="162">
        <f t="shared" si="4"/>
        <v>2849.6876413144259</v>
      </c>
      <c r="D21" s="139">
        <f t="shared" si="0"/>
        <v>33.924852872790787</v>
      </c>
      <c r="E21" s="154">
        <f t="shared" si="1"/>
        <v>15.536138981016286</v>
      </c>
      <c r="F21" s="135">
        <f t="shared" si="2"/>
        <v>525.81481444368251</v>
      </c>
      <c r="G21" s="134"/>
      <c r="H21" s="170">
        <f>H$15</f>
        <v>60</v>
      </c>
      <c r="I21" s="145">
        <f t="shared" si="5"/>
        <v>99.999999999999972</v>
      </c>
      <c r="J21" s="149">
        <f t="shared" si="6"/>
        <v>2474.0695814215137</v>
      </c>
      <c r="K21" s="139">
        <f>[1]!srLETt2E($B$15,L21,0,1)</f>
        <v>29.45320930263707</v>
      </c>
      <c r="L21" s="171">
        <f>L19</f>
        <v>17</v>
      </c>
      <c r="M21" s="154">
        <f t="shared" si="3"/>
        <v>425.81481444368256</v>
      </c>
      <c r="N21" s="154">
        <f t="shared" si="9"/>
        <v>33.999999999999993</v>
      </c>
    </row>
    <row r="22" spans="1:21">
      <c r="A22" s="8"/>
      <c r="B22" s="106"/>
      <c r="C22" s="163">
        <f>D22*$B$16</f>
        <v>3860.1274378344201</v>
      </c>
      <c r="D22" s="138">
        <f t="shared" si="0"/>
        <v>45.953898069457381</v>
      </c>
      <c r="E22" s="153">
        <f t="shared" si="1"/>
        <v>12.663080519251114</v>
      </c>
      <c r="F22" s="117">
        <f t="shared" si="2"/>
        <v>838.30988688661739</v>
      </c>
      <c r="G22" s="127"/>
      <c r="H22" s="172">
        <f>H$13</f>
        <v>0</v>
      </c>
      <c r="I22" s="144">
        <f>$L$6/COS(RADIANS(H22))</f>
        <v>50</v>
      </c>
      <c r="J22" s="148">
        <f>K22*$B$16</f>
        <v>3711.9155123470423</v>
      </c>
      <c r="K22" s="138">
        <f>[1]!srLETt2E($B$15,L22,0,1)</f>
        <v>44.189470385083837</v>
      </c>
      <c r="L22" s="173">
        <v>13</v>
      </c>
      <c r="M22" s="153">
        <f t="shared" si="3"/>
        <v>788.30988688661739</v>
      </c>
      <c r="N22" s="153">
        <f>L22/COS(RADIANS(H22))</f>
        <v>13</v>
      </c>
      <c r="P22" s="3" t="s">
        <v>142</v>
      </c>
    </row>
    <row r="23" spans="1:21">
      <c r="A23" s="8"/>
      <c r="B23" s="113"/>
      <c r="C23" s="133">
        <f t="shared" si="4"/>
        <v>3920.8198482161301</v>
      </c>
      <c r="D23" s="138">
        <f t="shared" si="0"/>
        <v>46.676426764477739</v>
      </c>
      <c r="E23" s="153">
        <f t="shared" si="1"/>
        <v>12.529482200592119</v>
      </c>
      <c r="F23" s="117">
        <f t="shared" si="2"/>
        <v>859.02056500527215</v>
      </c>
      <c r="G23" s="127"/>
      <c r="H23" s="142">
        <f>H$14</f>
        <v>45</v>
      </c>
      <c r="I23" s="144">
        <f t="shared" si="5"/>
        <v>70.710678118654741</v>
      </c>
      <c r="J23" s="148">
        <f t="shared" si="6"/>
        <v>3711.9155123470423</v>
      </c>
      <c r="K23" s="138">
        <f>[1]!srLETt2E($B$15,L23,0,1)</f>
        <v>44.189470385083837</v>
      </c>
      <c r="L23" s="119">
        <f>L22</f>
        <v>13</v>
      </c>
      <c r="M23" s="153">
        <f t="shared" si="3"/>
        <v>788.30988688661739</v>
      </c>
      <c r="N23" s="153">
        <f t="shared" ref="N23:N24" si="10">L23/COS(RADIANS(H23))</f>
        <v>18.384776310850235</v>
      </c>
    </row>
    <row r="24" spans="1:21">
      <c r="B24" s="106"/>
      <c r="C24" s="163">
        <f t="shared" si="4"/>
        <v>4006.1695120858271</v>
      </c>
      <c r="D24" s="138">
        <f t="shared" si="0"/>
        <v>47.692494191497943</v>
      </c>
      <c r="E24" s="153">
        <f t="shared" si="1"/>
        <v>12.343336120502643</v>
      </c>
      <c r="F24" s="117">
        <f t="shared" si="2"/>
        <v>888.30988688661751</v>
      </c>
      <c r="G24" s="127"/>
      <c r="H24" s="172">
        <f>H$15</f>
        <v>60</v>
      </c>
      <c r="I24" s="144">
        <f t="shared" si="5"/>
        <v>99.999999999999972</v>
      </c>
      <c r="J24" s="148">
        <f t="shared" si="6"/>
        <v>3711.9155123470423</v>
      </c>
      <c r="K24" s="138">
        <f>[1]!srLETt2E($B$15,L24,0,1)</f>
        <v>44.189470385083837</v>
      </c>
      <c r="L24" s="174">
        <f>L22</f>
        <v>13</v>
      </c>
      <c r="M24" s="153">
        <f t="shared" si="3"/>
        <v>788.30988688661739</v>
      </c>
      <c r="N24" s="153">
        <f t="shared" si="10"/>
        <v>25.999999999999993</v>
      </c>
    </row>
    <row r="25" spans="1:21" ht="4.5" customHeight="1">
      <c r="B25" s="114"/>
      <c r="C25" s="114"/>
      <c r="D25" s="116"/>
      <c r="E25" s="124"/>
      <c r="F25" s="121"/>
      <c r="G25" s="115"/>
      <c r="H25" s="130"/>
      <c r="I25" s="130"/>
      <c r="J25" s="150"/>
      <c r="K25" s="151"/>
      <c r="L25" s="115"/>
      <c r="M25" s="130"/>
      <c r="N25" s="130"/>
    </row>
    <row r="26" spans="1:21" ht="6" customHeight="1">
      <c r="G26" s="34"/>
      <c r="H26" s="34"/>
      <c r="I26" s="35"/>
    </row>
    <row r="27" spans="1:21">
      <c r="A27" s="8"/>
      <c r="B27" s="175" t="s">
        <v>112</v>
      </c>
      <c r="C27" s="9" t="s">
        <v>114</v>
      </c>
      <c r="G27" s="9" t="s">
        <v>111</v>
      </c>
      <c r="H27" s="176">
        <f>L6</f>
        <v>50</v>
      </c>
      <c r="I27" s="34" t="s">
        <v>134</v>
      </c>
      <c r="T27" s="8"/>
      <c r="U27" s="8"/>
    </row>
    <row r="28" spans="1:21">
      <c r="A28" s="8"/>
      <c r="B28" s="175" t="s">
        <v>113</v>
      </c>
      <c r="C28" s="8" t="s">
        <v>115</v>
      </c>
      <c r="D28" s="8"/>
      <c r="G28" s="9" t="s">
        <v>111</v>
      </c>
      <c r="H28" s="16" t="s">
        <v>116</v>
      </c>
      <c r="I28" s="34" t="s">
        <v>134</v>
      </c>
      <c r="L28" s="9" t="s">
        <v>155</v>
      </c>
      <c r="T28" s="8"/>
      <c r="U28" s="8"/>
    </row>
    <row r="29" spans="1:21">
      <c r="A29" s="8"/>
      <c r="B29" s="175"/>
      <c r="C29" s="18"/>
      <c r="D29" s="18"/>
      <c r="T29" s="8"/>
      <c r="U29" s="8"/>
    </row>
    <row r="30" spans="1:21">
      <c r="C30" s="17"/>
    </row>
    <row r="31" spans="1:21" ht="6" customHeight="1">
      <c r="C31" s="17"/>
    </row>
    <row r="32" spans="1:21">
      <c r="A32" s="8"/>
      <c r="B32" s="191" t="s">
        <v>132</v>
      </c>
      <c r="H32" s="28" t="s">
        <v>121</v>
      </c>
      <c r="L32" s="194" t="s">
        <v>120</v>
      </c>
    </row>
    <row r="33" spans="1:16">
      <c r="C33" s="183">
        <f>D33*$B$16</f>
        <v>993.53507565336997</v>
      </c>
      <c r="D33" s="187">
        <f>[1]!srEold($B$15,K33,I33)</f>
        <v>11.827798519682975</v>
      </c>
      <c r="E33" s="188">
        <f>[1]!srE2LETt($B$15,D33,0)</f>
        <v>29.010996107290236</v>
      </c>
      <c r="F33" s="188">
        <f>[1]!srE2Rng($B$15,D33)</f>
        <v>125.80999999999999</v>
      </c>
      <c r="G33" s="185"/>
      <c r="H33" s="189">
        <v>60</v>
      </c>
      <c r="I33" s="190">
        <f>$L$6/COS(RADIANS(H33))</f>
        <v>99.999999999999972</v>
      </c>
      <c r="J33" s="186">
        <f>K33*$B$16</f>
        <v>180</v>
      </c>
      <c r="K33" s="184">
        <f>[1]!srLETt2E($B$15,L33,0,1)</f>
        <v>2.1428571428571428</v>
      </c>
      <c r="L33" s="197">
        <f>[1]!srMaxLETt($B$15,0)</f>
        <v>40.998339999999999</v>
      </c>
      <c r="M33" s="188">
        <f>[1]!srE2Rng($B$15,K33)</f>
        <v>25.81</v>
      </c>
      <c r="N33" s="188">
        <f>L33/COS(RADIANS(H33))</f>
        <v>81.996679999999984</v>
      </c>
    </row>
    <row r="36" spans="1:16" s="10" customFormat="1" ht="14">
      <c r="A36" s="195"/>
      <c r="B36" s="196" t="s">
        <v>135</v>
      </c>
      <c r="E36" s="10" t="s">
        <v>137</v>
      </c>
      <c r="F36" s="10" t="s">
        <v>138</v>
      </c>
      <c r="P36" s="3"/>
    </row>
    <row r="37" spans="1:16" s="10" customFormat="1" ht="14">
      <c r="A37" s="195"/>
      <c r="B37" s="195"/>
      <c r="C37" s="195"/>
      <c r="D37" s="195"/>
      <c r="P37" s="3"/>
    </row>
    <row r="38" spans="1:16" s="28" customFormat="1">
      <c r="A38" s="18"/>
      <c r="B38" s="206" t="s">
        <v>159</v>
      </c>
      <c r="C38" s="18"/>
      <c r="D38" s="18"/>
    </row>
    <row r="39" spans="1:16" s="28" customFormat="1">
      <c r="C39" s="28" t="s">
        <v>158</v>
      </c>
    </row>
    <row r="40" spans="1:16" s="28" customFormat="1">
      <c r="C40" s="28" t="s">
        <v>136</v>
      </c>
    </row>
    <row r="41" spans="1:16" s="28" customFormat="1">
      <c r="B41" s="99" t="s">
        <v>160</v>
      </c>
    </row>
    <row r="42" spans="1:16" s="28" customFormat="1">
      <c r="B42" s="99" t="s">
        <v>161</v>
      </c>
    </row>
    <row r="43" spans="1:16" s="28" customFormat="1">
      <c r="C43" s="28" t="s">
        <v>143</v>
      </c>
    </row>
    <row r="44" spans="1:16" s="28" customFormat="1">
      <c r="B44" s="99" t="s">
        <v>162</v>
      </c>
    </row>
    <row r="45" spans="1:16" s="28" customFormat="1">
      <c r="C45" s="28" t="s">
        <v>144</v>
      </c>
    </row>
    <row r="46" spans="1:16" s="28" customFormat="1">
      <c r="C46" s="207" t="s">
        <v>146</v>
      </c>
    </row>
    <row r="47" spans="1:16" s="28" customFormat="1">
      <c r="C47" s="207" t="s">
        <v>145</v>
      </c>
    </row>
    <row r="48" spans="1:16" s="28" customFormat="1">
      <c r="B48" s="99" t="s">
        <v>163</v>
      </c>
    </row>
    <row r="49" spans="1:16" s="28" customFormat="1"/>
    <row r="50" spans="1:16" s="28" customFormat="1">
      <c r="B50" s="99" t="s">
        <v>164</v>
      </c>
    </row>
    <row r="51" spans="1:16" s="10" customFormat="1" ht="14">
      <c r="C51" s="203" t="s">
        <v>151</v>
      </c>
      <c r="D51" s="204"/>
      <c r="E51" s="204" t="s">
        <v>152</v>
      </c>
      <c r="F51" s="205"/>
      <c r="P51" s="3"/>
    </row>
    <row r="52" spans="1:16" s="10" customFormat="1" ht="14">
      <c r="C52" s="208" t="s">
        <v>150</v>
      </c>
      <c r="D52" s="18"/>
      <c r="E52" s="209">
        <v>2.2999999999999998</v>
      </c>
      <c r="F52" s="210"/>
      <c r="I52" s="3" t="s">
        <v>156</v>
      </c>
      <c r="P52" s="3"/>
    </row>
    <row r="53" spans="1:16" s="10" customFormat="1" ht="14">
      <c r="C53" s="208" t="s">
        <v>153</v>
      </c>
      <c r="D53" s="18"/>
      <c r="E53" s="209">
        <v>11.8</v>
      </c>
      <c r="F53" s="210"/>
      <c r="J53" s="3" t="s">
        <v>157</v>
      </c>
      <c r="P53" s="3"/>
    </row>
    <row r="54" spans="1:16" s="10" customFormat="1" ht="14">
      <c r="C54" s="211" t="s">
        <v>154</v>
      </c>
      <c r="D54" s="212"/>
      <c r="E54" s="213">
        <v>47</v>
      </c>
      <c r="F54" s="214"/>
      <c r="P54" s="3"/>
    </row>
    <row r="55" spans="1:16" s="10" customFormat="1" ht="14">
      <c r="P55" s="3"/>
    </row>
    <row r="56" spans="1:16" ht="14">
      <c r="A56" s="8"/>
      <c r="B56" s="192" t="s">
        <v>117</v>
      </c>
      <c r="N56" s="16" t="s">
        <v>123</v>
      </c>
    </row>
    <row r="57" spans="1:16">
      <c r="A57" s="8"/>
      <c r="B57" s="8"/>
      <c r="C57" s="8" t="str">
        <f>"E1 [A.MeV] = srLETt2Eh( "&amp;$B$15&amp;" , LET①, 0 )"</f>
        <v>E1 [A.MeV] = srLETt2Eh( srim84Kr_Si , LET①, 0 )</v>
      </c>
      <c r="D57" s="8"/>
      <c r="J57" s="9" t="s">
        <v>126</v>
      </c>
      <c r="N57" s="99" t="s">
        <v>122</v>
      </c>
    </row>
    <row r="58" spans="1:16">
      <c r="A58" s="8"/>
      <c r="B58" s="31"/>
      <c r="C58" s="8" t="str">
        <f>"E0 [A.MeV] = srEold( "&amp;$B$15&amp;" , E1, D1 )"</f>
        <v>E0 [A.MeV] = srEold( srim84Kr_Si , E1, D1 )</v>
      </c>
      <c r="D58" s="18"/>
      <c r="J58" s="9" t="s">
        <v>124</v>
      </c>
      <c r="N58" s="99" t="s">
        <v>125</v>
      </c>
    </row>
    <row r="59" spans="1:16">
      <c r="C59" s="8" t="str">
        <f>"LET [MeV/(mg/cm2)] = srE2LETt( "&amp;$B$15&amp;" , E, 0 )"</f>
        <v>LET [MeV/(mg/cm2)] = srE2LETt( srim84Kr_Si , E, 0 )</v>
      </c>
      <c r="J59" s="9" t="s">
        <v>128</v>
      </c>
      <c r="N59" s="99" t="s">
        <v>127</v>
      </c>
    </row>
    <row r="60" spans="1:16">
      <c r="C60" s="8" t="str">
        <f>"R(Si) [μm] = srE2Rng( "&amp;$B$15&amp;" , E )"</f>
        <v>R(Si) [μm] = srE2Rng( srim84Kr_Si , E )</v>
      </c>
      <c r="J60" s="9" t="s">
        <v>130</v>
      </c>
      <c r="N60" s="99" t="s">
        <v>129</v>
      </c>
    </row>
    <row r="61" spans="1:16">
      <c r="C61" s="8" t="str">
        <f>"max LET [MeV/(mg/cm2)] = srMaxLETt( "&amp;$B$15&amp;" , 0 )"</f>
        <v>max LET [MeV/(mg/cm2)] = srMaxLETt( srim84Kr_Si , 0 )</v>
      </c>
      <c r="J61" s="9" t="s">
        <v>131</v>
      </c>
      <c r="N61" s="99" t="s">
        <v>127</v>
      </c>
    </row>
    <row r="62" spans="1:16">
      <c r="N62" s="99"/>
    </row>
    <row r="63" spans="1:16">
      <c r="A63" s="8"/>
    </row>
    <row r="64" spans="1:16">
      <c r="A64" s="8"/>
      <c r="B64" s="8"/>
      <c r="C64" s="8"/>
      <c r="D64" s="8"/>
    </row>
    <row r="65" spans="1:4">
      <c r="A65" s="8"/>
      <c r="B65" s="31"/>
      <c r="C65" s="18"/>
      <c r="D65" s="18"/>
    </row>
    <row r="69" spans="1:4">
      <c r="B69" s="28"/>
      <c r="C69" s="28"/>
      <c r="D69" s="28"/>
    </row>
  </sheetData>
  <phoneticPr fontId="18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 &amp;A</oddHeader>
  </headerFooter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L64"/>
  <sheetViews>
    <sheetView zoomScale="80" zoomScaleNormal="80" zoomScaleSheetLayoutView="90" workbookViewId="0">
      <selection activeCell="B36" sqref="B36"/>
    </sheetView>
  </sheetViews>
  <sheetFormatPr defaultRowHeight="13"/>
  <cols>
    <col min="1" max="1" width="2.08984375" customWidth="1"/>
    <col min="2" max="2" width="7" customWidth="1"/>
    <col min="3" max="3" width="7.36328125" customWidth="1"/>
    <col min="4" max="4" width="4" customWidth="1"/>
    <col min="5" max="5" width="1.7265625" customWidth="1"/>
    <col min="6" max="6" width="13.26953125" customWidth="1"/>
    <col min="7" max="7" width="5.453125" style="9" customWidth="1"/>
    <col min="8" max="8" width="6.7265625" customWidth="1"/>
    <col min="9" max="9" width="5.6328125" customWidth="1"/>
    <col min="10" max="10" width="5.36328125" style="9" customWidth="1"/>
    <col min="11" max="11" width="5.36328125" customWidth="1"/>
    <col min="12" max="12" width="5.36328125" style="9" customWidth="1"/>
    <col min="13" max="13" width="5" customWidth="1"/>
    <col min="14" max="14" width="1.453125" customWidth="1"/>
    <col min="15" max="15" width="5.453125" style="9" customWidth="1"/>
    <col min="16" max="16" width="6.7265625" style="9" customWidth="1"/>
    <col min="17" max="17" width="5.6328125" style="9" customWidth="1"/>
    <col min="18" max="20" width="5.36328125" style="9" customWidth="1"/>
    <col min="21" max="21" width="5" style="9" customWidth="1"/>
    <col min="22" max="22" width="1.453125" style="9" customWidth="1"/>
    <col min="23" max="23" width="5.453125" style="9" customWidth="1"/>
    <col min="24" max="24" width="6.7265625" style="9" customWidth="1"/>
    <col min="25" max="25" width="5.6328125" style="9" customWidth="1"/>
    <col min="26" max="28" width="5.36328125" style="9" customWidth="1"/>
    <col min="29" max="29" width="5" style="9" customWidth="1"/>
    <col min="30" max="30" width="1.453125" style="9" customWidth="1"/>
    <col min="31" max="31" width="5.453125" style="9" customWidth="1"/>
    <col min="32" max="32" width="6.7265625" style="9" customWidth="1"/>
    <col min="33" max="33" width="6.08984375" style="9" customWidth="1"/>
    <col min="34" max="34" width="5.90625" style="9" customWidth="1"/>
    <col min="35" max="36" width="5.36328125" style="9" customWidth="1"/>
    <col min="37" max="37" width="6.08984375" style="9" customWidth="1"/>
    <col min="38" max="38" width="2.26953125" customWidth="1"/>
  </cols>
  <sheetData>
    <row r="1" spans="1:38" s="14" customFormat="1" ht="8.25" customHeight="1">
      <c r="I1" s="15"/>
      <c r="J1" s="15"/>
      <c r="K1" s="15"/>
      <c r="Q1" s="15"/>
      <c r="R1" s="15"/>
      <c r="S1" s="15"/>
      <c r="Y1" s="15"/>
      <c r="Z1" s="15"/>
      <c r="AA1" s="15"/>
      <c r="AG1" s="15"/>
      <c r="AH1" s="15"/>
      <c r="AI1" s="15"/>
    </row>
    <row r="2" spans="1:38" s="12" customFormat="1" ht="19">
      <c r="C2" s="13" t="s">
        <v>165</v>
      </c>
      <c r="G2" s="12" t="s">
        <v>148</v>
      </c>
      <c r="K2" s="13"/>
      <c r="S2" s="13"/>
      <c r="AA2" s="13"/>
      <c r="AI2" s="13"/>
    </row>
    <row r="3" spans="1:38" ht="7.5" customHeight="1"/>
    <row r="4" spans="1:38" s="7" customFormat="1" ht="12">
      <c r="A4" s="49"/>
      <c r="B4" s="31"/>
      <c r="C4" s="49"/>
      <c r="F4" s="45" t="s">
        <v>36</v>
      </c>
      <c r="K4" s="45" t="s">
        <v>32</v>
      </c>
      <c r="S4" s="45" t="s">
        <v>32</v>
      </c>
      <c r="AA4" s="45" t="s">
        <v>32</v>
      </c>
      <c r="AI4" s="45" t="s">
        <v>32</v>
      </c>
    </row>
    <row r="5" spans="1:38" s="9" customFormat="1">
      <c r="B5" s="23" t="s">
        <v>20</v>
      </c>
      <c r="C5" s="65" t="s">
        <v>1</v>
      </c>
      <c r="F5" s="24" t="s">
        <v>1</v>
      </c>
      <c r="H5" s="69">
        <v>73</v>
      </c>
      <c r="I5" s="27" t="s">
        <v>0</v>
      </c>
      <c r="K5" s="43" t="str">
        <f t="shared" ref="K5:K10" si="0">"srim"&amp;H$13&amp;"_"&amp;$C5</f>
        <v>srim40Ar_Au</v>
      </c>
      <c r="P5" s="69">
        <v>48.8</v>
      </c>
      <c r="Q5" s="27" t="s">
        <v>0</v>
      </c>
      <c r="S5" s="43" t="str">
        <f>"srim"&amp;P$13&amp;"_"&amp;$C5</f>
        <v>srim84Kr_Au</v>
      </c>
      <c r="X5" s="64">
        <v>21.4</v>
      </c>
      <c r="Y5" s="27" t="s">
        <v>0</v>
      </c>
      <c r="AA5" s="43" t="str">
        <f t="shared" ref="AA5:AA10" si="1">"srim"&amp;X$13&amp;"_"&amp;$C5</f>
        <v>srim136Xe_Au</v>
      </c>
      <c r="AF5" s="64">
        <v>0</v>
      </c>
      <c r="AG5" s="27" t="s">
        <v>0</v>
      </c>
      <c r="AI5" s="43" t="str">
        <f t="shared" ref="AI5:AI10" si="2">"srim"&amp;AF$13&amp;"_"&amp;$C5</f>
        <v>srim197Au_Au</v>
      </c>
    </row>
    <row r="6" spans="1:38" s="9" customFormat="1">
      <c r="B6" s="20" t="s">
        <v>21</v>
      </c>
      <c r="C6" s="66" t="s">
        <v>23</v>
      </c>
      <c r="F6" s="25" t="s">
        <v>2</v>
      </c>
      <c r="H6" s="70">
        <v>75</v>
      </c>
      <c r="I6" s="36" t="s">
        <v>37</v>
      </c>
      <c r="K6" s="43" t="str">
        <f t="shared" si="0"/>
        <v>srim40Ar_Kapton</v>
      </c>
      <c r="P6" s="70">
        <v>75</v>
      </c>
      <c r="Q6" s="36" t="s">
        <v>37</v>
      </c>
      <c r="S6" s="43" t="str">
        <f t="shared" ref="S6:S10" si="3">"srim"&amp;P$13&amp;"_"&amp;$C6</f>
        <v>srim84Kr_Kapton</v>
      </c>
      <c r="X6" s="64">
        <v>25</v>
      </c>
      <c r="Y6" s="36" t="s">
        <v>37</v>
      </c>
      <c r="AA6" s="43" t="str">
        <f t="shared" si="1"/>
        <v>srim136Xe_Kapton</v>
      </c>
      <c r="AF6" s="64">
        <v>25</v>
      </c>
      <c r="AG6" s="36" t="s">
        <v>37</v>
      </c>
      <c r="AI6" s="43" t="str">
        <f t="shared" si="2"/>
        <v>srim197Au_Kapton</v>
      </c>
    </row>
    <row r="7" spans="1:38" s="9" customFormat="1">
      <c r="B7" s="20" t="s">
        <v>27</v>
      </c>
      <c r="C7" s="67" t="s">
        <v>24</v>
      </c>
      <c r="F7" s="25" t="s">
        <v>5</v>
      </c>
      <c r="H7" s="70">
        <v>24</v>
      </c>
      <c r="I7" s="36" t="s">
        <v>37</v>
      </c>
      <c r="K7" s="43" t="str">
        <f t="shared" si="0"/>
        <v>srim40Ar_Mylar</v>
      </c>
      <c r="P7" s="70">
        <v>24</v>
      </c>
      <c r="Q7" s="36" t="s">
        <v>37</v>
      </c>
      <c r="S7" s="43" t="str">
        <f t="shared" si="3"/>
        <v>srim84Kr_Mylar</v>
      </c>
      <c r="X7" s="70">
        <v>24</v>
      </c>
      <c r="Y7" s="36" t="s">
        <v>37</v>
      </c>
      <c r="AA7" s="43" t="str">
        <f t="shared" si="1"/>
        <v>srim136Xe_Mylar</v>
      </c>
      <c r="AF7" s="70">
        <v>24</v>
      </c>
      <c r="AG7" s="36" t="s">
        <v>37</v>
      </c>
      <c r="AI7" s="43" t="str">
        <f t="shared" si="2"/>
        <v>srim197Au_Mylar</v>
      </c>
      <c r="AL7" s="8"/>
    </row>
    <row r="8" spans="1:38" s="9" customFormat="1">
      <c r="B8" s="20" t="s">
        <v>28</v>
      </c>
      <c r="C8" s="67" t="s">
        <v>25</v>
      </c>
      <c r="F8" s="25" t="s">
        <v>3</v>
      </c>
      <c r="H8" s="69">
        <v>72</v>
      </c>
      <c r="I8" s="36" t="s">
        <v>37</v>
      </c>
      <c r="K8" s="43" t="str">
        <f t="shared" si="0"/>
        <v>srim40Ar_EJ212</v>
      </c>
      <c r="P8" s="69">
        <v>48</v>
      </c>
      <c r="Q8" s="36" t="s">
        <v>37</v>
      </c>
      <c r="S8" s="43" t="str">
        <f t="shared" si="3"/>
        <v>srim84Kr_EJ212</v>
      </c>
      <c r="X8" s="64">
        <v>48</v>
      </c>
      <c r="Y8" s="36" t="s">
        <v>37</v>
      </c>
      <c r="AA8" s="43" t="str">
        <f t="shared" si="1"/>
        <v>srim136Xe_EJ212</v>
      </c>
      <c r="AF8" s="64">
        <v>0</v>
      </c>
      <c r="AG8" s="36" t="s">
        <v>37</v>
      </c>
      <c r="AI8" s="43" t="str">
        <f t="shared" si="2"/>
        <v>srim197Au_EJ212</v>
      </c>
    </row>
    <row r="9" spans="1:38" s="9" customFormat="1">
      <c r="B9" s="20" t="s">
        <v>29</v>
      </c>
      <c r="C9" s="67" t="s">
        <v>26</v>
      </c>
      <c r="F9" s="25" t="s">
        <v>7</v>
      </c>
      <c r="H9" s="69">
        <v>500</v>
      </c>
      <c r="I9" s="36" t="s">
        <v>37</v>
      </c>
      <c r="K9" s="43" t="str">
        <f t="shared" si="0"/>
        <v>srim40Ar_Al</v>
      </c>
      <c r="P9" s="69">
        <v>100</v>
      </c>
      <c r="Q9" s="36" t="s">
        <v>37</v>
      </c>
      <c r="S9" s="43" t="str">
        <f t="shared" si="3"/>
        <v>srim84Kr_Al</v>
      </c>
      <c r="X9" s="64">
        <v>100</v>
      </c>
      <c r="Y9" s="36" t="s">
        <v>37</v>
      </c>
      <c r="AA9" s="43" t="str">
        <f t="shared" si="1"/>
        <v>srim136Xe_Al</v>
      </c>
      <c r="AF9" s="64">
        <v>0</v>
      </c>
      <c r="AG9" s="36" t="s">
        <v>37</v>
      </c>
      <c r="AI9" s="43" t="str">
        <f t="shared" si="2"/>
        <v>srim197Au_Al</v>
      </c>
    </row>
    <row r="10" spans="1:38" s="9" customFormat="1">
      <c r="B10" s="20" t="s">
        <v>30</v>
      </c>
      <c r="C10" s="67" t="s">
        <v>22</v>
      </c>
      <c r="F10" s="25" t="s">
        <v>4</v>
      </c>
      <c r="H10" s="70">
        <v>145</v>
      </c>
      <c r="I10" s="33" t="s">
        <v>35</v>
      </c>
      <c r="K10" s="43" t="str">
        <f t="shared" si="0"/>
        <v>srim40Ar_Si</v>
      </c>
      <c r="P10" s="70">
        <v>145</v>
      </c>
      <c r="Q10" s="33" t="s">
        <v>17</v>
      </c>
      <c r="S10" s="43" t="str">
        <f t="shared" si="3"/>
        <v>srim84Kr_Si</v>
      </c>
      <c r="X10" s="70">
        <v>145</v>
      </c>
      <c r="Y10" s="33" t="s">
        <v>17</v>
      </c>
      <c r="AA10" s="43" t="str">
        <f t="shared" si="1"/>
        <v>srim136Xe_Si</v>
      </c>
      <c r="AF10" s="64">
        <v>105</v>
      </c>
      <c r="AG10" s="33" t="s">
        <v>17</v>
      </c>
      <c r="AI10" s="43" t="str">
        <f t="shared" si="2"/>
        <v>srim197Au_Si</v>
      </c>
    </row>
    <row r="11" spans="1:38" s="9" customFormat="1">
      <c r="B11" s="6" t="s">
        <v>31</v>
      </c>
      <c r="C11" s="68" t="s">
        <v>16</v>
      </c>
      <c r="F11" s="26" t="s">
        <v>8</v>
      </c>
      <c r="H11" s="70">
        <v>160</v>
      </c>
      <c r="I11" s="33" t="s">
        <v>35</v>
      </c>
      <c r="K11" s="43" t="str">
        <f>"srim"&amp;H$13&amp;"_"&amp;$C$11</f>
        <v>srim40Ar_Air</v>
      </c>
      <c r="P11" s="70">
        <v>160</v>
      </c>
      <c r="Q11" s="33" t="s">
        <v>17</v>
      </c>
      <c r="S11" s="43" t="str">
        <f>"srim"&amp;P$13&amp;"_"&amp;$C$11</f>
        <v>srim84Kr_Air</v>
      </c>
      <c r="X11" s="64">
        <v>20</v>
      </c>
      <c r="Y11" s="33" t="s">
        <v>17</v>
      </c>
      <c r="AA11" s="43" t="str">
        <f>"srim"&amp;X$13&amp;"_"&amp;$C$11</f>
        <v>srim136Xe_Air</v>
      </c>
      <c r="AF11" s="64">
        <v>20</v>
      </c>
      <c r="AG11" s="33" t="s">
        <v>17</v>
      </c>
      <c r="AI11" s="43" t="str">
        <f>"srim"&amp;AF$13&amp;"_"&amp;$C$11</f>
        <v>srim197Au_Air</v>
      </c>
    </row>
    <row r="12" spans="1:38" s="9" customFormat="1">
      <c r="H12" s="80" t="s">
        <v>55</v>
      </c>
      <c r="P12" s="80" t="s">
        <v>55</v>
      </c>
      <c r="X12" s="80"/>
      <c r="AF12" s="80"/>
    </row>
    <row r="13" spans="1:38" s="9" customFormat="1" ht="17" thickBot="1">
      <c r="B13" s="48" t="s">
        <v>11</v>
      </c>
      <c r="C13" s="57">
        <v>20</v>
      </c>
      <c r="D13" s="17" t="s">
        <v>9</v>
      </c>
      <c r="F13" s="11" t="s">
        <v>6</v>
      </c>
      <c r="H13" s="63" t="s">
        <v>14</v>
      </c>
      <c r="I13" s="59">
        <f>[1]!srInfoIonA(K$5)</f>
        <v>40</v>
      </c>
      <c r="J13" s="60">
        <f>[1]!srInfoIonZ(K$5)</f>
        <v>18</v>
      </c>
      <c r="P13" s="63" t="s">
        <v>18</v>
      </c>
      <c r="Q13" s="59">
        <f>[1]!srInfoIonA(S$5)</f>
        <v>84</v>
      </c>
      <c r="R13" s="60">
        <f>[1]!srInfoIonZ(S$5)</f>
        <v>36</v>
      </c>
      <c r="X13" s="63" t="s">
        <v>74</v>
      </c>
      <c r="Y13" s="59">
        <f>[1]!srInfoIonA(AA$5)</f>
        <v>136</v>
      </c>
      <c r="Z13" s="60">
        <f>[1]!srInfoIonZ(AA$5)</f>
        <v>54</v>
      </c>
      <c r="AF13" s="63" t="s">
        <v>19</v>
      </c>
      <c r="AG13" s="59">
        <f>[1]!srInfoIonA(AI$5)</f>
        <v>197</v>
      </c>
      <c r="AH13" s="60">
        <f>[1]!srInfoIonZ(AI$5)</f>
        <v>79</v>
      </c>
      <c r="AJ13" s="202"/>
    </row>
    <row r="14" spans="1:38" s="9" customFormat="1" ht="13.5" thickBot="1">
      <c r="B14" s="30" t="s">
        <v>12</v>
      </c>
      <c r="C14" s="58">
        <v>1013</v>
      </c>
      <c r="D14" s="8" t="s">
        <v>10</v>
      </c>
      <c r="F14" s="74" t="s">
        <v>59</v>
      </c>
      <c r="H14" s="75">
        <v>95</v>
      </c>
      <c r="J14" s="71" t="s">
        <v>62</v>
      </c>
      <c r="K14" s="79">
        <v>3260</v>
      </c>
      <c r="L14" s="94" t="s">
        <v>69</v>
      </c>
      <c r="P14" s="75">
        <v>70</v>
      </c>
      <c r="R14" s="71" t="s">
        <v>62</v>
      </c>
      <c r="S14" s="79">
        <v>970</v>
      </c>
      <c r="T14" s="94" t="s">
        <v>147</v>
      </c>
      <c r="X14" s="75">
        <v>39</v>
      </c>
      <c r="Z14" s="71" t="s">
        <v>62</v>
      </c>
      <c r="AA14" s="79">
        <v>175</v>
      </c>
      <c r="AB14" s="94" t="s">
        <v>149</v>
      </c>
      <c r="AF14" s="75">
        <v>18.399999999999999</v>
      </c>
      <c r="AH14" s="71"/>
      <c r="AI14" s="79"/>
      <c r="AJ14" s="94"/>
    </row>
    <row r="15" spans="1:38" s="9" customFormat="1">
      <c r="B15" s="31" t="s">
        <v>13</v>
      </c>
      <c r="C15" s="19">
        <f>[1]!srThkStd($K$11,$C$14*100,$C$13)</f>
        <v>0.99975326918332097</v>
      </c>
      <c r="F15" s="95" t="s">
        <v>60</v>
      </c>
      <c r="G15" s="1"/>
      <c r="H15" s="84">
        <v>-1.55</v>
      </c>
      <c r="J15" s="71" t="s">
        <v>61</v>
      </c>
      <c r="K15" s="76">
        <f>K24-K14</f>
        <v>-0.24088914449930598</v>
      </c>
      <c r="O15" s="1"/>
      <c r="P15" s="84">
        <v>-2</v>
      </c>
      <c r="R15" s="71" t="s">
        <v>61</v>
      </c>
      <c r="S15" s="76">
        <f>S24-S14</f>
        <v>3.4305091981872238</v>
      </c>
      <c r="W15" s="1"/>
      <c r="X15" s="84">
        <v>-2.5</v>
      </c>
      <c r="Z15" s="71" t="s">
        <v>61</v>
      </c>
      <c r="AA15" s="76">
        <f>AA24-AA14</f>
        <v>-2.1223151112774019</v>
      </c>
      <c r="AE15" s="1"/>
      <c r="AF15" s="84"/>
      <c r="AH15" s="71"/>
      <c r="AI15" s="76"/>
    </row>
    <row r="16" spans="1:38" s="9" customFormat="1">
      <c r="H16" s="50" t="s">
        <v>47</v>
      </c>
      <c r="I16" s="51" t="s">
        <v>41</v>
      </c>
      <c r="J16" s="52" t="s">
        <v>44</v>
      </c>
      <c r="K16" s="52" t="s">
        <v>45</v>
      </c>
      <c r="L16" s="52" t="s">
        <v>46</v>
      </c>
      <c r="M16" s="53" t="s">
        <v>41</v>
      </c>
      <c r="P16" s="50" t="s">
        <v>47</v>
      </c>
      <c r="Q16" s="51" t="s">
        <v>41</v>
      </c>
      <c r="R16" s="52" t="s">
        <v>44</v>
      </c>
      <c r="S16" s="52" t="s">
        <v>45</v>
      </c>
      <c r="T16" s="52" t="s">
        <v>46</v>
      </c>
      <c r="U16" s="53" t="s">
        <v>41</v>
      </c>
      <c r="X16" s="50" t="s">
        <v>47</v>
      </c>
      <c r="Y16" s="51" t="s">
        <v>41</v>
      </c>
      <c r="Z16" s="52" t="s">
        <v>44</v>
      </c>
      <c r="AA16" s="52" t="s">
        <v>45</v>
      </c>
      <c r="AB16" s="52" t="s">
        <v>46</v>
      </c>
      <c r="AC16" s="53" t="s">
        <v>41</v>
      </c>
      <c r="AF16" s="50" t="s">
        <v>47</v>
      </c>
      <c r="AG16" s="51" t="s">
        <v>41</v>
      </c>
      <c r="AH16" s="52" t="s">
        <v>44</v>
      </c>
      <c r="AI16" s="52" t="s">
        <v>45</v>
      </c>
      <c r="AJ16" s="52" t="s">
        <v>46</v>
      </c>
      <c r="AK16" s="53" t="s">
        <v>41</v>
      </c>
    </row>
    <row r="17" spans="2:37" s="9" customFormat="1">
      <c r="B17" s="38" t="s">
        <v>38</v>
      </c>
      <c r="C17" s="56">
        <v>50</v>
      </c>
      <c r="D17" s="9" t="s">
        <v>33</v>
      </c>
      <c r="F17" s="29" t="s">
        <v>57</v>
      </c>
      <c r="H17" s="54" t="s">
        <v>39</v>
      </c>
      <c r="I17" s="55" t="s">
        <v>42</v>
      </c>
      <c r="J17" s="55" t="s">
        <v>33</v>
      </c>
      <c r="K17" s="55" t="s">
        <v>33</v>
      </c>
      <c r="L17" s="55" t="s">
        <v>40</v>
      </c>
      <c r="M17" s="21" t="s">
        <v>43</v>
      </c>
      <c r="P17" s="54" t="s">
        <v>34</v>
      </c>
      <c r="Q17" s="55" t="s">
        <v>42</v>
      </c>
      <c r="R17" s="55" t="s">
        <v>33</v>
      </c>
      <c r="S17" s="55" t="s">
        <v>33</v>
      </c>
      <c r="T17" s="55" t="s">
        <v>17</v>
      </c>
      <c r="U17" s="21" t="s">
        <v>43</v>
      </c>
      <c r="X17" s="54" t="s">
        <v>34</v>
      </c>
      <c r="Y17" s="55" t="s">
        <v>42</v>
      </c>
      <c r="Z17" s="55" t="s">
        <v>33</v>
      </c>
      <c r="AA17" s="55" t="s">
        <v>33</v>
      </c>
      <c r="AB17" s="55" t="s">
        <v>17</v>
      </c>
      <c r="AC17" s="21" t="s">
        <v>43</v>
      </c>
      <c r="AF17" s="54" t="s">
        <v>34</v>
      </c>
      <c r="AG17" s="55" t="s">
        <v>42</v>
      </c>
      <c r="AH17" s="55" t="s">
        <v>33</v>
      </c>
      <c r="AI17" s="55" t="s">
        <v>33</v>
      </c>
      <c r="AJ17" s="55" t="s">
        <v>17</v>
      </c>
      <c r="AK17" s="21" t="s">
        <v>43</v>
      </c>
    </row>
    <row r="18" spans="2:37" s="9" customFormat="1">
      <c r="D18"/>
      <c r="F18" s="9" t="s">
        <v>70</v>
      </c>
      <c r="H18" s="32">
        <f>H14*(1+H15/100)</f>
        <v>93.527500000000003</v>
      </c>
      <c r="I18" s="40">
        <f t="shared" ref="I18:I24" si="4">[1]!srE2LETt(K$10,H18,0)</f>
        <v>2.0575518052399997</v>
      </c>
      <c r="J18" s="41">
        <f t="shared" ref="J18:J24" si="5">[1]!srE2Rng(K$10,H18)</f>
        <v>4541.8440000000001</v>
      </c>
      <c r="K18" s="41">
        <f t="shared" ref="K18:K24" si="6">[1]!srE2Rng(K$9,H18)</f>
        <v>4013.9800000000005</v>
      </c>
      <c r="L18" s="41">
        <f t="shared" ref="L18:L24" si="7">[1]!srE2Rng(K$11,H18)/$C$15/1000</f>
        <v>7900.2652388943743</v>
      </c>
      <c r="M18" s="42">
        <f t="shared" ref="M18:M24" si="8">[1]!srE2LETt(K$11,H18,0)</f>
        <v>2.2630363621999998</v>
      </c>
      <c r="P18" s="32">
        <f>P14*(1+P15/100)</f>
        <v>68.599999999999994</v>
      </c>
      <c r="Q18" s="40">
        <f t="shared" ref="Q18:Q24" si="9">[1]!srE2LETt(S$10,P18,0)</f>
        <v>9.6103587087999998</v>
      </c>
      <c r="R18" s="41">
        <f t="shared" ref="R18:R24" si="10">[1]!srE2Rng(S$10,P18)</f>
        <v>1590.7039999999997</v>
      </c>
      <c r="S18" s="41">
        <f t="shared" ref="S18:S24" si="11">[1]!srE2Rng(S$9,P18)</f>
        <v>1404.9599999999998</v>
      </c>
      <c r="T18" s="41">
        <f t="shared" ref="T18:T24" si="12">[1]!srE2Rng(S$11,P18)/$C$15/1000</f>
        <v>2755.3518302073044</v>
      </c>
      <c r="U18" s="42">
        <f t="shared" ref="U18:U24" si="13">[1]!srE2LETt(S$11,P18,0)</f>
        <v>10.612704035200002</v>
      </c>
      <c r="X18" s="32">
        <f>X14*(1+X15/100)</f>
        <v>38.024999999999999</v>
      </c>
      <c r="Y18" s="40">
        <f t="shared" ref="Y18:Y24" si="14">[1]!srE2LETt(AA$10,X18,0)</f>
        <v>30.570153780000002</v>
      </c>
      <c r="Z18" s="41">
        <f t="shared" ref="Z18:Z24" si="15">[1]!srE2Rng(AA$10,X18)</f>
        <v>509.540504</v>
      </c>
      <c r="AA18" s="41">
        <f t="shared" ref="AA18:AA24" si="16">[1]!srE2Rng(AA$9,X18)</f>
        <v>449.37526399999996</v>
      </c>
      <c r="AB18" s="41">
        <f t="shared" ref="AB18:AB24" si="17">[1]!srE2Rng(AA$11,X18)/$C$15/1000</f>
        <v>874.59733011352421</v>
      </c>
      <c r="AC18" s="42">
        <f t="shared" ref="AC18:AC24" si="18">[1]!srE2LETt(AA$11,X18,0)</f>
        <v>34.081285496</v>
      </c>
      <c r="AF18" s="32">
        <f>AF14*(1+AF15/100)</f>
        <v>18.399999999999999</v>
      </c>
      <c r="AG18" s="40">
        <f t="shared" ref="AG18:AG24" si="19">[1]!srE2LETt(AI$10,AF18,0)</f>
        <v>73.429755584000006</v>
      </c>
      <c r="AH18" s="41">
        <f t="shared" ref="AH18:AH24" si="20">[1]!srE2Rng(AI$10,AF18)</f>
        <v>197.45326399999996</v>
      </c>
      <c r="AI18" s="41">
        <f t="shared" ref="AI18:AI24" si="21">[1]!srE2Rng(AI$9,AF18)</f>
        <v>173.90465599999996</v>
      </c>
      <c r="AJ18" s="41">
        <f t="shared" ref="AJ18:AJ24" si="22">[1]!srE2Rng(AI$11,AF18)/$C$15/1000</f>
        <v>330.80622809081933</v>
      </c>
      <c r="AK18" s="42">
        <f t="shared" ref="AK18:AK24" si="23">[1]!srE2LETt(AI$11,AF18,0)</f>
        <v>81.431153632000004</v>
      </c>
    </row>
    <row r="19" spans="2:37" s="9" customFormat="1">
      <c r="B19" s="62" t="s">
        <v>54</v>
      </c>
      <c r="C19" s="96"/>
      <c r="D19" s="8"/>
      <c r="F19" t="s">
        <v>48</v>
      </c>
      <c r="H19" s="44">
        <f>[1]!srEnew(K$5,H18,H$5)</f>
        <v>88.937921486771955</v>
      </c>
      <c r="I19" s="42">
        <f t="shared" si="4"/>
        <v>2.1361605639161896</v>
      </c>
      <c r="J19" s="41">
        <f t="shared" si="5"/>
        <v>4167.3343933205915</v>
      </c>
      <c r="K19" s="41">
        <f t="shared" si="6"/>
        <v>3683.530347047581</v>
      </c>
      <c r="L19" s="41">
        <f t="shared" si="7"/>
        <v>7246.5479664141831</v>
      </c>
      <c r="M19" s="42">
        <f t="shared" si="8"/>
        <v>2.3511926191158032</v>
      </c>
      <c r="P19" s="44">
        <f>[1]!srEnew(S$5,P18,P$5)</f>
        <v>61.818298324366914</v>
      </c>
      <c r="Q19" s="42">
        <f t="shared" si="9"/>
        <v>10.332374543075463</v>
      </c>
      <c r="R19" s="41">
        <f t="shared" si="10"/>
        <v>1340.9495648836646</v>
      </c>
      <c r="S19" s="41">
        <f t="shared" si="11"/>
        <v>1189.3853413288555</v>
      </c>
      <c r="T19" s="41">
        <f t="shared" si="12"/>
        <v>2323.1986285375738</v>
      </c>
      <c r="U19" s="42">
        <f t="shared" si="13"/>
        <v>11.427386929025475</v>
      </c>
      <c r="X19" s="44">
        <f>[1]!srEnew(AA$5,X18,X$5)</f>
        <v>32.341564181398923</v>
      </c>
      <c r="Y19" s="42">
        <f t="shared" si="14"/>
        <v>33.72129527956956</v>
      </c>
      <c r="Z19" s="41">
        <f t="shared" si="15"/>
        <v>405.48221973866259</v>
      </c>
      <c r="AA19" s="41">
        <f t="shared" si="16"/>
        <v>357.45887179093006</v>
      </c>
      <c r="AB19" s="41">
        <f t="shared" si="17"/>
        <v>694.9311574885179</v>
      </c>
      <c r="AC19" s="42">
        <f t="shared" si="18"/>
        <v>37.678313117217527</v>
      </c>
      <c r="AF19" s="44">
        <f>[1]!srEnew(AI$5,AF18,AF$5)</f>
        <v>18.399999999999999</v>
      </c>
      <c r="AG19" s="42">
        <f t="shared" si="19"/>
        <v>73.429755584000006</v>
      </c>
      <c r="AH19" s="41">
        <f t="shared" si="20"/>
        <v>197.45326399999996</v>
      </c>
      <c r="AI19" s="41">
        <f t="shared" si="21"/>
        <v>173.90465599999996</v>
      </c>
      <c r="AJ19" s="41">
        <f t="shared" si="22"/>
        <v>330.80622809081933</v>
      </c>
      <c r="AK19" s="42">
        <f t="shared" si="23"/>
        <v>81.431153632000004</v>
      </c>
    </row>
    <row r="20" spans="2:37" s="9" customFormat="1">
      <c r="B20" s="62" t="s">
        <v>72</v>
      </c>
      <c r="C20" s="198"/>
      <c r="D20" s="8"/>
      <c r="F20" t="s">
        <v>49</v>
      </c>
      <c r="H20" s="44">
        <f>[1]!srEnew(K$6,H19,H$6)</f>
        <v>88.286879820105298</v>
      </c>
      <c r="I20" s="42">
        <f t="shared" si="4"/>
        <v>2.1473113868328562</v>
      </c>
      <c r="J20" s="41">
        <f t="shared" si="5"/>
        <v>4114.2093933205924</v>
      </c>
      <c r="K20" s="41">
        <f t="shared" si="6"/>
        <v>3636.6553470475815</v>
      </c>
      <c r="L20" s="41">
        <f t="shared" si="7"/>
        <v>7153.8167534329405</v>
      </c>
      <c r="M20" s="42">
        <f t="shared" si="8"/>
        <v>2.3636977753658033</v>
      </c>
      <c r="P20" s="44">
        <f>[1]!srEnew(S$6,P19,P$6)</f>
        <v>60.278889457371839</v>
      </c>
      <c r="Q20" s="42">
        <f t="shared" si="9"/>
        <v>10.508068249972014</v>
      </c>
      <c r="R20" s="41">
        <f t="shared" si="10"/>
        <v>1286.6392200560783</v>
      </c>
      <c r="S20" s="41">
        <f t="shared" si="11"/>
        <v>1142.8336171909243</v>
      </c>
      <c r="T20" s="41">
        <f t="shared" si="12"/>
        <v>2227.4853579517417</v>
      </c>
      <c r="U20" s="42">
        <f t="shared" si="13"/>
        <v>11.626617446266854</v>
      </c>
      <c r="X20" s="44">
        <f>[1]!srEnew(AA$6,X19,X$6)</f>
        <v>31.287651044076572</v>
      </c>
      <c r="Y20" s="42">
        <f t="shared" si="14"/>
        <v>34.406916194602239</v>
      </c>
      <c r="Z20" s="41">
        <f t="shared" si="15"/>
        <v>387.53129667938038</v>
      </c>
      <c r="AA20" s="41">
        <f t="shared" si="16"/>
        <v>341.60633194458217</v>
      </c>
      <c r="AB20" s="41">
        <f t="shared" si="17"/>
        <v>663.9551625027957</v>
      </c>
      <c r="AC20" s="42">
        <f t="shared" si="18"/>
        <v>38.429875438052292</v>
      </c>
      <c r="AF20" s="44">
        <f>[1]!srEnew(AI$6,AF19,AF$6)</f>
        <v>16.804662835940114</v>
      </c>
      <c r="AG20" s="42">
        <f t="shared" si="19"/>
        <v>75.496033383342137</v>
      </c>
      <c r="AH20" s="41">
        <f t="shared" si="20"/>
        <v>179.25376641624359</v>
      </c>
      <c r="AI20" s="41">
        <f t="shared" si="21"/>
        <v>157.85466082436542</v>
      </c>
      <c r="AJ20" s="41">
        <f t="shared" si="22"/>
        <v>299.26970280640398</v>
      </c>
      <c r="AK20" s="42">
        <f t="shared" si="23"/>
        <v>84.269718133571573</v>
      </c>
    </row>
    <row r="21" spans="2:37" s="9" customFormat="1">
      <c r="B21" s="7" t="s">
        <v>73</v>
      </c>
      <c r="C21" s="199"/>
      <c r="D21" s="8"/>
      <c r="F21" t="s">
        <v>50</v>
      </c>
      <c r="H21" s="44">
        <f>[1]!srEnew(K$7,H20,H$7)</f>
        <v>88.08140036805051</v>
      </c>
      <c r="I21" s="42">
        <f t="shared" si="4"/>
        <v>2.1508307698465545</v>
      </c>
      <c r="J21" s="41">
        <f t="shared" si="5"/>
        <v>4097.4422700329214</v>
      </c>
      <c r="K21" s="41">
        <f t="shared" si="6"/>
        <v>3621.8608264996369</v>
      </c>
      <c r="L21" s="41">
        <f t="shared" si="7"/>
        <v>7124.5492582673551</v>
      </c>
      <c r="M21" s="42">
        <f t="shared" si="8"/>
        <v>2.3676446082425153</v>
      </c>
      <c r="P21" s="44">
        <f>[1]!srEnew(S$7,P20,P$7)</f>
        <v>59.802698981181365</v>
      </c>
      <c r="Q21" s="42">
        <f t="shared" si="9"/>
        <v>10.562416169972016</v>
      </c>
      <c r="R21" s="41">
        <f t="shared" si="10"/>
        <v>1269.8392200560784</v>
      </c>
      <c r="S21" s="41">
        <f t="shared" si="11"/>
        <v>1128.4336171909245</v>
      </c>
      <c r="T21" s="41">
        <f t="shared" si="12"/>
        <v>2197.8780529171909</v>
      </c>
      <c r="U21" s="42">
        <f t="shared" si="13"/>
        <v>11.688246086266854</v>
      </c>
      <c r="X21" s="44">
        <f>[1]!srEnew(AA$7,X20,X$7)</f>
        <v>30.27415122650654</v>
      </c>
      <c r="Y21" s="42">
        <f t="shared" si="14"/>
        <v>35.066246311762818</v>
      </c>
      <c r="Z21" s="41">
        <f t="shared" si="15"/>
        <v>370.26871914664434</v>
      </c>
      <c r="AA21" s="41">
        <f t="shared" si="16"/>
        <v>326.36167308862076</v>
      </c>
      <c r="AB21" s="41">
        <f t="shared" si="17"/>
        <v>634.16697203878641</v>
      </c>
      <c r="AC21" s="42">
        <f t="shared" si="18"/>
        <v>39.15261837395856</v>
      </c>
      <c r="AF21" s="44">
        <f>[1]!srEnew(AI$7,AF20,AF$7)</f>
        <v>15.216126177372354</v>
      </c>
      <c r="AG21" s="42">
        <f t="shared" si="19"/>
        <v>77.660514705173313</v>
      </c>
      <c r="AH21" s="41">
        <f t="shared" si="20"/>
        <v>161.61701790899636</v>
      </c>
      <c r="AI21" s="41">
        <f t="shared" si="21"/>
        <v>142.30291372745452</v>
      </c>
      <c r="AJ21" s="41">
        <f t="shared" si="22"/>
        <v>268.91915675008062</v>
      </c>
      <c r="AK21" s="42">
        <f t="shared" si="23"/>
        <v>87.319205977696114</v>
      </c>
    </row>
    <row r="22" spans="2:37" s="9" customFormat="1">
      <c r="B22" s="46" t="s">
        <v>75</v>
      </c>
      <c r="C22" s="200"/>
      <c r="D22" s="8"/>
      <c r="F22" t="s">
        <v>51</v>
      </c>
      <c r="H22" s="44">
        <f>[1]!srEnew(K$7,H21,H$8)</f>
        <v>87.462385689230686</v>
      </c>
      <c r="I22" s="42">
        <f t="shared" si="4"/>
        <v>2.1615233617503229</v>
      </c>
      <c r="J22" s="41">
        <f t="shared" si="5"/>
        <v>4047.1112209329167</v>
      </c>
      <c r="K22" s="41">
        <f t="shared" si="6"/>
        <v>3577.4121354190711</v>
      </c>
      <c r="L22" s="41">
        <f t="shared" si="7"/>
        <v>7036.6206048838767</v>
      </c>
      <c r="M22" s="42">
        <f t="shared" si="8"/>
        <v>2.3796369469290908</v>
      </c>
      <c r="P22" s="44">
        <f>[1]!srEnew(S$7,P21,P$8)</f>
        <v>58.802211493442613</v>
      </c>
      <c r="Q22" s="42">
        <f t="shared" si="9"/>
        <v>10.691279933695274</v>
      </c>
      <c r="R22" s="41">
        <f t="shared" si="10"/>
        <v>1236.9665908706882</v>
      </c>
      <c r="S22" s="41">
        <f t="shared" si="11"/>
        <v>1098.4722484569306</v>
      </c>
      <c r="T22" s="41">
        <f t="shared" si="12"/>
        <v>2139.310154246929</v>
      </c>
      <c r="U22" s="42">
        <f t="shared" si="13"/>
        <v>11.833497992890129</v>
      </c>
      <c r="X22" s="44">
        <f>[1]!srEnew(AA$7,X21,X$8)</f>
        <v>28.180990030600096</v>
      </c>
      <c r="Y22" s="42">
        <f t="shared" si="14"/>
        <v>36.545217986831943</v>
      </c>
      <c r="Z22" s="41">
        <f t="shared" si="15"/>
        <v>335.71470596910024</v>
      </c>
      <c r="AA22" s="41">
        <f t="shared" si="16"/>
        <v>295.84801470813704</v>
      </c>
      <c r="AB22" s="41">
        <f t="shared" si="17"/>
        <v>574.38389821945555</v>
      </c>
      <c r="AC22" s="42">
        <f t="shared" si="18"/>
        <v>40.565050616871005</v>
      </c>
      <c r="AF22" s="44">
        <f>[1]!srEnew(AI$7,AF21,AF$8)</f>
        <v>15.216126177372354</v>
      </c>
      <c r="AG22" s="42">
        <f t="shared" si="19"/>
        <v>77.660514705173313</v>
      </c>
      <c r="AH22" s="41">
        <f t="shared" si="20"/>
        <v>161.61701790899636</v>
      </c>
      <c r="AI22" s="41">
        <f t="shared" si="21"/>
        <v>142.30291372745452</v>
      </c>
      <c r="AJ22" s="41">
        <f t="shared" si="22"/>
        <v>268.91915675008062</v>
      </c>
      <c r="AK22" s="42">
        <f t="shared" si="23"/>
        <v>87.319205977696114</v>
      </c>
    </row>
    <row r="23" spans="2:37" s="9" customFormat="1" ht="13.5" thickBot="1">
      <c r="B23" s="46" t="s">
        <v>76</v>
      </c>
      <c r="C23" s="96"/>
      <c r="D23" s="8"/>
      <c r="F23" t="s">
        <v>52</v>
      </c>
      <c r="H23" s="44">
        <f>[1]!srEnew(K$8,H22,H$9)</f>
        <v>83.911249325594326</v>
      </c>
      <c r="I23" s="42">
        <f t="shared" si="4"/>
        <v>2.2308727367503227</v>
      </c>
      <c r="J23" s="41">
        <f t="shared" si="5"/>
        <v>3774.3839482056442</v>
      </c>
      <c r="K23" s="41">
        <f t="shared" si="6"/>
        <v>3333.0939536008896</v>
      </c>
      <c r="L23" s="41">
        <f t="shared" si="7"/>
        <v>6553.5468702522694</v>
      </c>
      <c r="M23" s="42">
        <f t="shared" si="8"/>
        <v>2.4575100719290908</v>
      </c>
      <c r="P23" s="44">
        <f>[1]!srEnew(S$8,P22,P$9)</f>
        <v>57.148772340003461</v>
      </c>
      <c r="Q23" s="42">
        <f t="shared" si="9"/>
        <v>10.913619378139719</v>
      </c>
      <c r="R23" s="41">
        <f t="shared" si="10"/>
        <v>1184.1888130929106</v>
      </c>
      <c r="S23" s="41">
        <f t="shared" si="11"/>
        <v>1049.1444706791528</v>
      </c>
      <c r="T23" s="41">
        <f t="shared" si="12"/>
        <v>2044.8424016967481</v>
      </c>
      <c r="U23" s="42">
        <f t="shared" si="13"/>
        <v>12.083617992890128</v>
      </c>
      <c r="X23" s="44">
        <f>[1]!srEnew(AA$8,X22,X$9)</f>
        <v>24.519742481871937</v>
      </c>
      <c r="Y23" s="42">
        <f t="shared" si="14"/>
        <v>39.561547596293622</v>
      </c>
      <c r="Z23" s="41">
        <f t="shared" si="15"/>
        <v>279.2282483359931</v>
      </c>
      <c r="AA23" s="41">
        <f t="shared" si="16"/>
        <v>245.98750582534765</v>
      </c>
      <c r="AB23" s="41">
        <f t="shared" si="17"/>
        <v>475.79707168401427</v>
      </c>
      <c r="AC23" s="42">
        <f t="shared" si="18"/>
        <v>43.491623039488019</v>
      </c>
      <c r="AF23" s="44">
        <f>[1]!srEnew(AI$8,AF22,AF$9)</f>
        <v>15.216126177372354</v>
      </c>
      <c r="AG23" s="42">
        <f t="shared" si="19"/>
        <v>77.660514705173313</v>
      </c>
      <c r="AH23" s="41">
        <f t="shared" si="20"/>
        <v>161.61701790899636</v>
      </c>
      <c r="AI23" s="41">
        <f t="shared" si="21"/>
        <v>142.30291372745452</v>
      </c>
      <c r="AJ23" s="41">
        <f t="shared" si="22"/>
        <v>268.91915675008062</v>
      </c>
      <c r="AK23" s="42">
        <f t="shared" si="23"/>
        <v>87.319205977696114</v>
      </c>
    </row>
    <row r="24" spans="2:37" s="9" customFormat="1" ht="13.5" thickBot="1">
      <c r="B24" s="46" t="s">
        <v>77</v>
      </c>
      <c r="C24" s="201"/>
      <c r="D24" s="8"/>
      <c r="F24" t="s">
        <v>53</v>
      </c>
      <c r="H24" s="90">
        <f>[1]!srEnewGas(K$11,H23,H$10,$C$14*100,$C$13)</f>
        <v>82.845335913597395</v>
      </c>
      <c r="I24" s="39">
        <f t="shared" si="4"/>
        <v>2.2516887295359136</v>
      </c>
      <c r="J24" s="41">
        <f t="shared" si="5"/>
        <v>3692.52179816428</v>
      </c>
      <c r="K24" s="73">
        <f t="shared" si="6"/>
        <v>3259.7591108555007</v>
      </c>
      <c r="L24" s="41">
        <f t="shared" si="7"/>
        <v>6408.5468702522685</v>
      </c>
      <c r="M24" s="42">
        <f t="shared" si="8"/>
        <v>2.4808845638865371</v>
      </c>
      <c r="P24" s="90">
        <f>[1]!srEnewGas(S$11,P23,P$10,$C$14*100,$C$13)</f>
        <v>54.610883263820305</v>
      </c>
      <c r="Q24" s="39">
        <f t="shared" si="9"/>
        <v>11.254891596162679</v>
      </c>
      <c r="R24" s="41">
        <f t="shared" si="10"/>
        <v>1103.1793937811442</v>
      </c>
      <c r="S24" s="73">
        <f t="shared" si="11"/>
        <v>973.43050919818722</v>
      </c>
      <c r="T24" s="41">
        <f t="shared" si="12"/>
        <v>1899.8424016967479</v>
      </c>
      <c r="U24" s="42">
        <f t="shared" si="13"/>
        <v>12.467531011046615</v>
      </c>
      <c r="X24" s="90">
        <f>[1]!srEnewGas(AA$11,X23,X$10,$C$14*100,$C$13)</f>
        <v>18.526225220164921</v>
      </c>
      <c r="Y24" s="39">
        <f t="shared" si="14"/>
        <v>45.760852500929182</v>
      </c>
      <c r="Z24" s="41">
        <f t="shared" si="15"/>
        <v>196.35996180486859</v>
      </c>
      <c r="AA24" s="73">
        <f t="shared" si="16"/>
        <v>172.8776848887226</v>
      </c>
      <c r="AB24" s="41">
        <f t="shared" si="17"/>
        <v>330.79707168401427</v>
      </c>
      <c r="AC24" s="42">
        <f t="shared" si="18"/>
        <v>50.721462662520636</v>
      </c>
      <c r="AF24" s="90">
        <f>[1]!srEnewGas(AI$11,AF23,AF$10,$C$14*100,$C$13)</f>
        <v>9.2181476831873308</v>
      </c>
      <c r="AG24" s="39">
        <f t="shared" si="19"/>
        <v>87.078474549289041</v>
      </c>
      <c r="AH24" s="41">
        <f t="shared" si="20"/>
        <v>99.607157170036416</v>
      </c>
      <c r="AI24" s="73">
        <f t="shared" si="21"/>
        <v>87.692105363188389</v>
      </c>
      <c r="AJ24" s="41">
        <f t="shared" si="22"/>
        <v>163.91915675008065</v>
      </c>
      <c r="AK24" s="42">
        <f t="shared" si="23"/>
        <v>99.893962864794105</v>
      </c>
    </row>
    <row r="25" spans="2:37" s="9" customFormat="1">
      <c r="B25" s="31"/>
      <c r="C25" s="201"/>
      <c r="D25" s="8"/>
      <c r="F25" s="29" t="s">
        <v>58</v>
      </c>
      <c r="G25" s="16"/>
      <c r="H25" s="89"/>
      <c r="I25" s="45"/>
      <c r="J25" s="7"/>
      <c r="K25" s="72"/>
      <c r="L25" s="7"/>
      <c r="M25" s="45"/>
      <c r="O25" s="16"/>
      <c r="P25" s="89"/>
      <c r="Q25" s="45"/>
      <c r="R25" s="7"/>
      <c r="S25" s="72"/>
      <c r="T25" s="7"/>
      <c r="U25" s="45"/>
      <c r="W25" s="16"/>
      <c r="X25" s="89"/>
      <c r="Y25" s="45"/>
      <c r="Z25" s="7"/>
      <c r="AA25" s="72"/>
      <c r="AB25" s="7"/>
      <c r="AC25" s="45"/>
      <c r="AE25" s="16"/>
      <c r="AF25" s="89"/>
      <c r="AG25" s="45"/>
      <c r="AH25" s="7"/>
      <c r="AI25" s="72"/>
      <c r="AJ25" s="7"/>
      <c r="AK25" s="45"/>
    </row>
    <row r="26" spans="2:37">
      <c r="B26" s="31"/>
      <c r="C26" s="201"/>
      <c r="D26" s="8"/>
      <c r="F26" s="18" t="s">
        <v>56</v>
      </c>
      <c r="H26" s="90">
        <f>[1]!srEnewGas(K$11,H24,H$11,$C$14*100,$C$13)</f>
        <v>81.669155596911139</v>
      </c>
      <c r="I26" s="40">
        <f>[1]!srE2LETt(K$10,H26,0)</f>
        <v>2.2746581008855311</v>
      </c>
      <c r="J26" s="41">
        <f>[1]!srE2Rng(K$10,H26)</f>
        <v>3602.1911498427753</v>
      </c>
      <c r="K26" s="87">
        <f>[1]!srE2Rng(K$9,H26)</f>
        <v>3178.8379050674862</v>
      </c>
      <c r="L26" s="41">
        <f>[1]!srE2Rng(K$11,H26)/$C$15/1000</f>
        <v>6248.5468702522694</v>
      </c>
      <c r="M26" s="42">
        <f>[1]!srE2LETt(K$11,H26,0)</f>
        <v>2.5066771067361331</v>
      </c>
      <c r="P26" s="90">
        <f>[1]!srEnewGas(S$11,P24,P$11,$C$14*100,$C$13)</f>
        <v>51.640037038404074</v>
      </c>
      <c r="Q26" s="40">
        <f>[1]!srE2LETt(S$10,P26,0)</f>
        <v>11.706331552810516</v>
      </c>
      <c r="R26" s="41">
        <f>[1]!srE2Rng(S$10,P26)</f>
        <v>1010.3098038822487</v>
      </c>
      <c r="S26" s="87">
        <f>[1]!srE2Rng(S$9,P26)</f>
        <v>890.32249027687453</v>
      </c>
      <c r="T26" s="41">
        <f>[1]!srE2Rng(S$11,P26)/$C$15/1000</f>
        <v>1739.8424016967476</v>
      </c>
      <c r="U26" s="42">
        <f>[1]!srE2LETt(S$11,P26,0)</f>
        <v>12.978621362050879</v>
      </c>
      <c r="X26" s="90">
        <f>[1]!srEnewGas(AA$11,X24,X$11,$C$14*100,$C$13)</f>
        <v>17.606423124948776</v>
      </c>
      <c r="Y26" s="40">
        <f>[1]!srE2LETt(AA$10,X26,0)</f>
        <v>46.910738709447791</v>
      </c>
      <c r="Z26" s="41">
        <f>[1]!srE2Rng(AA$10,X26)</f>
        <v>184.82221883776242</v>
      </c>
      <c r="AA26" s="87">
        <f>[1]!srE2Rng(AA$9,X26)</f>
        <v>162.70190455183766</v>
      </c>
      <c r="AB26" s="41">
        <f>[1]!srE2Rng(AA$11,X26)/$C$15/1000</f>
        <v>310.79707168401433</v>
      </c>
      <c r="AC26" s="42">
        <f>[1]!srE2LETt(AA$11,X26,0)</f>
        <v>52.18988387701539</v>
      </c>
      <c r="AF26" s="90">
        <f>[1]!srEnewGas(AI$11,AF24,AF$11,$C$14*100,$C$13)</f>
        <v>7.9824774489725625</v>
      </c>
      <c r="AG26" s="40">
        <f>[1]!srE2LETt(AI$10,AF26,0)</f>
        <v>89.264624309154655</v>
      </c>
      <c r="AH26" s="41">
        <f>[1]!srE2Rng(AI$10,AF26)</f>
        <v>87.706816368974074</v>
      </c>
      <c r="AI26" s="87">
        <f>[1]!srE2Rng(AI$9,AF26)</f>
        <v>77.228782830033268</v>
      </c>
      <c r="AJ26" s="41">
        <f>[1]!srE2Rng(AI$11,AF26)/$C$15/1000</f>
        <v>143.91915675008065</v>
      </c>
      <c r="AK26" s="42">
        <f>[1]!srE2LETt(AI$11,AF26,0)</f>
        <v>102.259524407295</v>
      </c>
    </row>
    <row r="27" spans="2:37">
      <c r="B27" s="31"/>
      <c r="C27" s="201"/>
      <c r="D27" s="8"/>
      <c r="F27" s="18" t="s">
        <v>71</v>
      </c>
      <c r="G27" s="4" t="s">
        <v>67</v>
      </c>
      <c r="H27" s="90">
        <f>[1]!srEnew(K$10,H26,$C$17)</f>
        <v>81.008031927211618</v>
      </c>
      <c r="I27" s="39">
        <f>[1]!srE2LETt(K$10,H27,0)</f>
        <v>2.2883049619892146</v>
      </c>
      <c r="J27" s="41">
        <f>[1]!srE2Rng(K$10,H27)</f>
        <v>3552.1911498427753</v>
      </c>
      <c r="K27" s="41">
        <f>[1]!srE2Rng(K$9,H27)</f>
        <v>3134.5140433415436</v>
      </c>
      <c r="L27" s="41">
        <f>[1]!srE2Rng(K$11,H27)/$C$15/1000</f>
        <v>6160.5480837429786</v>
      </c>
      <c r="M27" s="42">
        <f>[1]!srE2LETt(K$11,H27,0)</f>
        <v>2.5219882925769825</v>
      </c>
      <c r="O27" s="4" t="s">
        <v>67</v>
      </c>
      <c r="P27" s="90">
        <f>[1]!srEnew(S$10,P26,$C$17)</f>
        <v>50.02219050862017</v>
      </c>
      <c r="Q27" s="39">
        <f>[1]!srE2LETt(S$10,P27,0)</f>
        <v>11.967399176206907</v>
      </c>
      <c r="R27" s="41">
        <f>[1]!srE2Rng(S$10,P27)</f>
        <v>960.30980388224873</v>
      </c>
      <c r="S27" s="41">
        <f>[1]!srE2Rng(S$9,P27)</f>
        <v>846.68256855476113</v>
      </c>
      <c r="T27" s="41">
        <f>[1]!srE2Rng(S$11,P27)/$C$15/1000</f>
        <v>1655.564160386295</v>
      </c>
      <c r="U27" s="42">
        <f>[1]!srE2LETt(S$11,P27,0)</f>
        <v>13.275026287034571</v>
      </c>
      <c r="W27" s="4" t="s">
        <v>67</v>
      </c>
      <c r="X27" s="90">
        <f>[1]!srEnew(AA$10,X26,$C$17)</f>
        <v>13.374576438497733</v>
      </c>
      <c r="Y27" s="39">
        <f>[1]!srE2LETt(AA$10,X27,0)</f>
        <v>52.861516336205682</v>
      </c>
      <c r="Z27" s="41">
        <f>[1]!srE2Rng(AA$10,X27)</f>
        <v>134.82221883776242</v>
      </c>
      <c r="AA27" s="41">
        <f>[1]!srE2Rng(AA$9,X27)</f>
        <v>118.62468912096907</v>
      </c>
      <c r="AB27" s="41">
        <f>[1]!srE2Rng(AA$11,X27)/$C$15/1000</f>
        <v>224.95206310956794</v>
      </c>
      <c r="AC27" s="42">
        <f>[1]!srE2LETt(AA$11,X27,0)</f>
        <v>59.965941321642283</v>
      </c>
      <c r="AE27" s="4" t="s">
        <v>67</v>
      </c>
      <c r="AF27" s="90">
        <f>[1]!srEnew(AI$10,AF26,$C$17)</f>
        <v>2.5259500491522706</v>
      </c>
      <c r="AG27" s="39">
        <f>[1]!srE2LETt(AI$10,AF27,0)</f>
        <v>91.36345838858179</v>
      </c>
      <c r="AH27" s="41">
        <f>[1]!srE2Rng(AI$10,AF27)</f>
        <v>37.706816368974074</v>
      </c>
      <c r="AI27" s="41">
        <f>[1]!srE2Rng(AI$9,AF27)</f>
        <v>33.361620978939492</v>
      </c>
      <c r="AJ27" s="41">
        <f>[1]!srE2Rng(AI$11,AF27)/$C$15/1000</f>
        <v>58.863496213133033</v>
      </c>
      <c r="AK27" s="42">
        <f>[1]!srE2LETt(AI$11,AF27,0)</f>
        <v>104.07970103827707</v>
      </c>
    </row>
    <row r="28" spans="2:37">
      <c r="B28" s="31"/>
      <c r="C28" s="201"/>
      <c r="D28" s="8"/>
      <c r="F28" s="85" t="s">
        <v>63</v>
      </c>
      <c r="G28" s="61" t="s">
        <v>68</v>
      </c>
      <c r="H28" s="7"/>
      <c r="O28" s="61" t="s">
        <v>68</v>
      </c>
      <c r="P28" s="7"/>
      <c r="W28" s="61" t="s">
        <v>68</v>
      </c>
      <c r="X28" s="7"/>
      <c r="AE28" s="61" t="s">
        <v>68</v>
      </c>
      <c r="AF28" s="7"/>
    </row>
    <row r="29" spans="2:37">
      <c r="B29" s="31"/>
      <c r="C29" s="201"/>
      <c r="D29" s="8"/>
      <c r="F29" s="82" t="s">
        <v>64</v>
      </c>
      <c r="G29" s="47">
        <f>K$26-K29</f>
        <v>1480.1033989991643</v>
      </c>
      <c r="H29" s="44">
        <f>[1]!srLETt2E(K$10,I29,0,1)</f>
        <v>56.604820190687917</v>
      </c>
      <c r="I29" s="81">
        <v>3</v>
      </c>
      <c r="J29" s="41">
        <f>[1]!srE2Rng(K$10,H29)</f>
        <v>1921.5730675938253</v>
      </c>
      <c r="K29" s="41">
        <f>[1]!srE2Rng(K$9,H29)</f>
        <v>1698.7345060683219</v>
      </c>
      <c r="L29" s="41">
        <f>[1]!srE2Rng(K$11,H29)/$C$15/1000</f>
        <v>3327.7223514850066</v>
      </c>
      <c r="M29" s="42">
        <f>[1]!srE2LETt(K$11,H29,0)</f>
        <v>3.3223894640015161</v>
      </c>
      <c r="O29" s="47">
        <f>S$26-S29</f>
        <v>194.82539285944472</v>
      </c>
      <c r="P29" s="44">
        <f>[1]!srLETt2E(S$10,Q29,0,1)</f>
        <v>44.189470385083837</v>
      </c>
      <c r="Q29" s="81">
        <v>13</v>
      </c>
      <c r="R29" s="41">
        <f>[1]!srE2Rng(S$10,P29)</f>
        <v>788.30988688661739</v>
      </c>
      <c r="S29" s="41">
        <f>[1]!srE2Rng(S$9,P29)</f>
        <v>695.49709741742981</v>
      </c>
      <c r="T29" s="41">
        <f>[1]!srE2Rng(S$11,P29)/$C$15/1000</f>
        <v>1359.0079960670867</v>
      </c>
      <c r="U29" s="42">
        <f>[1]!srE2LETt(S$11,P29,0)</f>
        <v>14.462313254752551</v>
      </c>
      <c r="W29" s="47">
        <f>AA$26-AA29</f>
        <v>24.692119172243196</v>
      </c>
      <c r="X29" s="44">
        <f>[1]!srLETt2E(AA$10,Y29,0,1)</f>
        <v>15.295285509146558</v>
      </c>
      <c r="Y29" s="81">
        <v>50</v>
      </c>
      <c r="Z29" s="41">
        <f>[1]!srE2Rng(AA$10,X29)</f>
        <v>156.82381814422206</v>
      </c>
      <c r="AA29" s="41">
        <f>[1]!srE2Rng(AA$9,X29)</f>
        <v>138.00978537959446</v>
      </c>
      <c r="AB29" s="41">
        <f>[1]!srE2Rng(AA$11,X29)/$C$15/1000</f>
        <v>262.52050098664688</v>
      </c>
      <c r="AC29" s="42">
        <f>[1]!srE2LETt(AA$11,X29,0)</f>
        <v>56.21092294877748</v>
      </c>
      <c r="AE29" s="47">
        <f>AI$26-AI29</f>
        <v>3.4712495718596585</v>
      </c>
      <c r="AF29" s="44">
        <f>[1]!srLETt2E(AI$10,AG29,0,1)</f>
        <v>7.5654547639622525</v>
      </c>
      <c r="AG29" s="81">
        <v>90</v>
      </c>
      <c r="AH29" s="41">
        <f>[1]!srE2Rng(AI$10,AF29)</f>
        <v>83.752782412626829</v>
      </c>
      <c r="AI29" s="41">
        <f>[1]!srE2Rng(AI$9,AF29)</f>
        <v>73.757533258173609</v>
      </c>
      <c r="AJ29" s="41">
        <f>[1]!srE2Rng(AI$11,AF29)/$C$15/1000</f>
        <v>137.26255235823805</v>
      </c>
      <c r="AK29" s="42">
        <f>[1]!srE2LETt(AI$11,AF29,0)</f>
        <v>102.99462527621195</v>
      </c>
    </row>
    <row r="30" spans="2:37">
      <c r="B30" s="18"/>
      <c r="C30" s="200"/>
      <c r="D30" s="8"/>
      <c r="F30" s="83" t="s">
        <v>65</v>
      </c>
      <c r="G30" s="47">
        <f>K$26-K30</f>
        <v>2829.5307409323968</v>
      </c>
      <c r="H30" s="44">
        <f>[1]!srLETt2E(K$10,I30,0,1)</f>
        <v>21.397622153639471</v>
      </c>
      <c r="I30" s="81">
        <v>6</v>
      </c>
      <c r="J30" s="41">
        <f>[1]!srE2Rng(K$10,H30)</f>
        <v>396.71994603716166</v>
      </c>
      <c r="K30" s="41">
        <f>[1]!srE2Rng(K$9,H30)</f>
        <v>349.30716413508935</v>
      </c>
      <c r="L30" s="41">
        <f>[1]!srE2Rng(K$11,H30)/$C$15/1000</f>
        <v>675.53077269073174</v>
      </c>
      <c r="M30" s="42">
        <f>[1]!srE2LETt(K$11,H30,0)</f>
        <v>6.6040476471792893</v>
      </c>
      <c r="O30" s="47">
        <f>S$26-S30</f>
        <v>515.03569369441584</v>
      </c>
      <c r="P30" s="44">
        <f>[1]!srLETt2E(S$10,Q30,0,1)</f>
        <v>29.45320930263707</v>
      </c>
      <c r="Q30" s="81">
        <v>17</v>
      </c>
      <c r="R30" s="41">
        <f>[1]!srE2Rng(S$10,P30)</f>
        <v>425.81481444368256</v>
      </c>
      <c r="S30" s="41">
        <f>[1]!srE2Rng(S$9,P30)</f>
        <v>375.28679658245863</v>
      </c>
      <c r="T30" s="41">
        <f>[1]!srE2Rng(S$11,P30)/$C$15/1000</f>
        <v>730.77823037290693</v>
      </c>
      <c r="U30" s="42">
        <f>[1]!srE2LETt(S$11,P30,0)</f>
        <v>18.986704360494347</v>
      </c>
      <c r="W30" s="47">
        <f>AA$26-AA30</f>
        <v>56.55609395754945</v>
      </c>
      <c r="X30" s="44">
        <f>[1]!srLETt2E(AA$10,Y30,0,1)</f>
        <v>12.07178541268922</v>
      </c>
      <c r="Y30" s="81">
        <v>55</v>
      </c>
      <c r="Z30" s="41">
        <f>[1]!srE2Rng(AA$10,X30)</f>
        <v>120.65420478425753</v>
      </c>
      <c r="AA30" s="41">
        <f>[1]!srE2Rng(AA$9,X30)</f>
        <v>106.14581059428821</v>
      </c>
      <c r="AB30" s="41">
        <f>[1]!srE2Rng(AA$11,X30)/$C$15/1000</f>
        <v>200.93732684902707</v>
      </c>
      <c r="AC30" s="42">
        <f>[1]!srE2LETt(AA$11,X30,0)</f>
        <v>62.724635085870254</v>
      </c>
      <c r="AE30" s="47">
        <f>AI$26-AI30</f>
        <v>8.2174425036929364</v>
      </c>
      <c r="AF30" s="44">
        <f>[1]!srLETt2E(AI$10,AG30,0,1)</f>
        <v>6.9893389182729289</v>
      </c>
      <c r="AG30" s="81">
        <v>91</v>
      </c>
      <c r="AH30" s="41">
        <f>[1]!srE2Rng(AI$10,AF30)</f>
        <v>78.357358974358988</v>
      </c>
      <c r="AI30" s="41">
        <f>[1]!srE2Rng(AI$9,AF30)</f>
        <v>69.011340326340331</v>
      </c>
      <c r="AJ30" s="41">
        <f>[1]!srE2Rng(AI$11,AF30)/$C$15/1000</f>
        <v>128.15822198137499</v>
      </c>
      <c r="AK30" s="42">
        <f>[1]!srE2LETt(AI$11,AF30,0)</f>
        <v>103.88779585081585</v>
      </c>
    </row>
    <row r="31" spans="2:37">
      <c r="B31" s="98"/>
      <c r="C31" s="96"/>
      <c r="D31" s="8"/>
      <c r="F31" s="82" t="s">
        <v>66</v>
      </c>
      <c r="G31" s="47">
        <f>K$26-K31</f>
        <v>3109.8657964728</v>
      </c>
      <c r="H31" s="44">
        <f>[1]!srLETt2E(K$10,I31,0,1)</f>
        <v>6.7609482460333323</v>
      </c>
      <c r="I31" s="81">
        <v>12</v>
      </c>
      <c r="J31" s="41">
        <f>[1]!srE2Rng(K$10,H31)</f>
        <v>78.585027163831981</v>
      </c>
      <c r="K31" s="41">
        <f>[1]!srE2Rng(K$9,H31)</f>
        <v>68.972108594686389</v>
      </c>
      <c r="L31" s="41">
        <f>[1]!srE2Rng(K$11,H31)/$C$15/1000</f>
        <v>130.20035682936279</v>
      </c>
      <c r="M31" s="42">
        <f>[1]!srE2LETt(K$11,H31,0)</f>
        <v>13.685769776191783</v>
      </c>
      <c r="O31" s="47">
        <f>S$26-S31</f>
        <v>779.59294424851953</v>
      </c>
      <c r="P31" s="44">
        <f>[1]!srLETt2E(S$10,Q31,0,1)</f>
        <v>11.836878371469</v>
      </c>
      <c r="Q31" s="81">
        <v>29</v>
      </c>
      <c r="R31" s="41">
        <f>[1]!srE2Rng(S$10,P31)</f>
        <v>125.92089767777378</v>
      </c>
      <c r="S31" s="41">
        <f>[1]!srE2Rng(S$9,P31)</f>
        <v>110.72954602835502</v>
      </c>
      <c r="T31" s="41">
        <f>[1]!srE2Rng(S$11,P31)/$C$15/1000</f>
        <v>210.25426286914029</v>
      </c>
      <c r="U31" s="42">
        <f>[1]!srE2LETt(S$11,P31,0)</f>
        <v>33.108709944857537</v>
      </c>
      <c r="W31" s="47">
        <f>AA$26-AA31</f>
        <v>81.175177238799847</v>
      </c>
      <c r="X31" s="44">
        <f>[1]!srLETt2E(AA$10,Y31,0,1)</f>
        <v>9.3328260676421273</v>
      </c>
      <c r="Y31" s="81">
        <v>60</v>
      </c>
      <c r="Z31" s="41">
        <f>[1]!srE2Rng(AA$10,X31)</f>
        <v>92.692400681752048</v>
      </c>
      <c r="AA31" s="41">
        <f>[1]!srE2Rng(AA$9,X31)</f>
        <v>81.52672731303781</v>
      </c>
      <c r="AB31" s="41">
        <f>[1]!srE2Rng(AA$11,X31)/$C$15/1000</f>
        <v>153.85660902523571</v>
      </c>
      <c r="AC31" s="42">
        <f>[1]!srE2LETt(AA$11,X31,0)</f>
        <v>68.832498971690669</v>
      </c>
      <c r="AE31" s="47">
        <f>AI$26-AI31</f>
        <v>13.136689404427727</v>
      </c>
      <c r="AF31" s="44">
        <f>[1]!srLETt2E(AI$10,AG31,0,1)</f>
        <v>6.385576027962693</v>
      </c>
      <c r="AG31" s="81">
        <v>92</v>
      </c>
      <c r="AH31" s="41">
        <f>[1]!srE2Rng(AI$10,AF31)</f>
        <v>72.75666089965398</v>
      </c>
      <c r="AI31" s="41">
        <f>[1]!srE2Rng(AI$9,AF31)</f>
        <v>64.09209342560554</v>
      </c>
      <c r="AJ31" s="41">
        <f>[1]!srE2Rng(AI$11,AF31)/$C$15/1000</f>
        <v>118.68959579958808</v>
      </c>
      <c r="AK31" s="42">
        <f>[1]!srE2LETt(AI$11,AF31,0)</f>
        <v>104.68860103806229</v>
      </c>
    </row>
    <row r="32" spans="2:37" s="9" customFormat="1">
      <c r="B32" s="98"/>
      <c r="C32" s="96"/>
      <c r="D32" s="8"/>
      <c r="F32" s="82" t="s">
        <v>78</v>
      </c>
      <c r="G32" s="47">
        <f>K$26-K32</f>
        <v>3159.2053244223248</v>
      </c>
      <c r="H32" s="44">
        <f>[1]!srLETt2E(K$10,I32,0,1)</f>
        <v>2.0443548387096784</v>
      </c>
      <c r="I32" s="81">
        <v>18</v>
      </c>
      <c r="J32" s="41">
        <f>[1]!srE2Rng(K$10,H32)</f>
        <v>22.287580645161299</v>
      </c>
      <c r="K32" s="41">
        <f>[1]!srE2Rng(K$9,H32)</f>
        <v>19.632580645161301</v>
      </c>
      <c r="L32" s="41">
        <f>[1]!srE2Rng(K$11,H32)/$C$15/1000</f>
        <v>34.341698961882642</v>
      </c>
      <c r="M32" s="42">
        <f>[1]!srE2LETt(K$11,H32,0)</f>
        <v>20.810164032258061</v>
      </c>
      <c r="O32" s="47">
        <f>S$26-S32</f>
        <v>848.09836941277831</v>
      </c>
      <c r="P32" s="44">
        <f>[1]!srLETt2E(S$10,Q32,0,1)</f>
        <v>4.6136020346438702</v>
      </c>
      <c r="Q32" s="81">
        <v>39</v>
      </c>
      <c r="R32" s="41">
        <f>[1]!srE2Rng(S$10,P32)</f>
        <v>48.014699828473397</v>
      </c>
      <c r="S32" s="41">
        <f>[1]!srE2Rng(S$9,P32)</f>
        <v>42.224120864096236</v>
      </c>
      <c r="T32" s="41">
        <f>[1]!srE2Rng(S$11,P32)/$C$15/1000</f>
        <v>78.762487549064758</v>
      </c>
      <c r="U32" s="42">
        <f>[1]!srE2LETt(S$11,P32,0)</f>
        <v>43.916191909165491</v>
      </c>
      <c r="W32" s="47">
        <f>AA$26-AA32</f>
        <v>114.76423331896095</v>
      </c>
      <c r="X32" s="44">
        <f>[1]!srLETt2E(AA$10,Y32,0,1)</f>
        <v>5.1585497579003761</v>
      </c>
      <c r="Y32" s="81">
        <v>68</v>
      </c>
      <c r="Z32" s="41">
        <f>[1]!srE2Rng(AA$10,X32)</f>
        <v>54.46986081605742</v>
      </c>
      <c r="AA32" s="41">
        <f>[1]!srE2Rng(AA$9,X32)</f>
        <v>47.93767123287671</v>
      </c>
      <c r="AB32" s="41">
        <f>[1]!srE2Rng(AA$11,X32)/$C$15/1000</f>
        <v>89.312065096460827</v>
      </c>
      <c r="AC32" s="42">
        <f>[1]!srE2LETt(AA$11,X32,0)</f>
        <v>76.804815663077193</v>
      </c>
      <c r="AE32" s="47">
        <f>AI$26-AI32</f>
        <v>18.483720560976238</v>
      </c>
      <c r="AF32" s="44">
        <f>[1]!srLETt2E(AI$10,AG32,0,1)</f>
        <v>5.7224870942889705</v>
      </c>
      <c r="AG32" s="81">
        <v>93</v>
      </c>
      <c r="AH32" s="41">
        <f>[1]!srE2Rng(AI$10,AF32)</f>
        <v>66.678110031476621</v>
      </c>
      <c r="AI32" s="41">
        <f>[1]!srE2Rng(AI$9,AF32)</f>
        <v>58.74506226905703</v>
      </c>
      <c r="AJ32" s="41">
        <f>[1]!srE2Rng(AI$11,AF32)/$C$15/1000</f>
        <v>108.36307016146054</v>
      </c>
      <c r="AK32" s="42">
        <f>[1]!srE2LETt(AI$11,AF32,0)</f>
        <v>105.41307124674969</v>
      </c>
    </row>
    <row r="33" spans="2:37">
      <c r="B33" s="31"/>
      <c r="C33" s="201"/>
      <c r="D33" s="8"/>
      <c r="F33" s="77" t="s">
        <v>15</v>
      </c>
      <c r="G33" s="47">
        <f>K$26-K33</f>
        <v>3166.6779050674863</v>
      </c>
      <c r="H33" s="44">
        <f>[1]!srLETt2E(K$10,I33,0,1)</f>
        <v>1.125</v>
      </c>
      <c r="I33" s="37">
        <f>[1]!srMaxLETt(K$10,0)</f>
        <v>18.666679999999999</v>
      </c>
      <c r="J33" s="41">
        <f>[1]!srE2Rng(K$10,H33)</f>
        <v>13.7</v>
      </c>
      <c r="K33" s="41">
        <f>[1]!srE2Rng(K$9,H33)</f>
        <v>12.16</v>
      </c>
      <c r="L33" s="41">
        <f>[1]!srE2Rng(K$11,H33)/$C$15/1000</f>
        <v>20.695106120434353</v>
      </c>
      <c r="M33" s="42">
        <f>[1]!srE2LETt(K$11,H33,0)</f>
        <v>24.168430000000001</v>
      </c>
      <c r="O33" s="47">
        <f>S$26-S33</f>
        <v>867.53249027687457</v>
      </c>
      <c r="P33" s="44">
        <f>[1]!srLETt2E(S$10,Q33,0,1)</f>
        <v>2.1428571428571428</v>
      </c>
      <c r="Q33" s="37">
        <f>[1]!srMaxLETt(S$10,0)</f>
        <v>40.998339999999999</v>
      </c>
      <c r="R33" s="41">
        <f>[1]!srE2Rng(S$10,P33)</f>
        <v>25.81</v>
      </c>
      <c r="S33" s="41">
        <f>[1]!srE2Rng(S$9,P33)</f>
        <v>22.79</v>
      </c>
      <c r="T33" s="41">
        <f>[1]!srE2Rng(S$11,P33)/$C$15/1000</f>
        <v>40.870083909180657</v>
      </c>
      <c r="U33" s="42">
        <f>[1]!srE2LETt(S$11,P33,0)</f>
        <v>47.220849999999999</v>
      </c>
      <c r="W33" s="47">
        <f>AA$26-AA33</f>
        <v>125.82190455183766</v>
      </c>
      <c r="X33" s="44">
        <f>[1]!srLETt2E(AA$10,Y33,0,1)</f>
        <v>3.6764705882352939</v>
      </c>
      <c r="Y33" s="37">
        <f>[1]!srMaxLETt(AA$10,0)</f>
        <v>69.365600000000001</v>
      </c>
      <c r="Z33" s="41">
        <f>[1]!srE2Rng(AA$10,X33)</f>
        <v>41.86</v>
      </c>
      <c r="AA33" s="41">
        <f>[1]!srE2Rng(AA$9,X33)</f>
        <v>36.880000000000003</v>
      </c>
      <c r="AB33" s="41">
        <f>[1]!srE2Rng(AA$11,X33)/$C$15/1000</f>
        <v>67.716707798617961</v>
      </c>
      <c r="AC33" s="42">
        <f>[1]!srE2LETt(AA$11,X33,0)</f>
        <v>77.918199999999999</v>
      </c>
      <c r="AE33" s="47">
        <f>AI$26-AI33</f>
        <v>31.658782830033267</v>
      </c>
      <c r="AF33" s="44">
        <f>[1]!srLETt2E(AI$10,AG33,0,1)</f>
        <v>4.0609137055837561</v>
      </c>
      <c r="AG33" s="37">
        <f>[1]!srMaxLETt(AI$10,0)</f>
        <v>94.366200000000006</v>
      </c>
      <c r="AH33" s="41">
        <f>[1]!srE2Rng(AI$10,AF33)</f>
        <v>51.65</v>
      </c>
      <c r="AI33" s="41">
        <f>[1]!srE2Rng(AI$9,AF33)</f>
        <v>45.57</v>
      </c>
      <c r="AJ33" s="41">
        <f>[1]!srE2Rng(AI$11,AF33)/$C$15/1000</f>
        <v>82.690402270483716</v>
      </c>
      <c r="AK33" s="42">
        <f>[1]!srE2LETt(AI$11,AF33,0)</f>
        <v>106.0003</v>
      </c>
    </row>
    <row r="34" spans="2:37">
      <c r="B34" s="31"/>
      <c r="C34" s="201"/>
      <c r="D34" s="8"/>
      <c r="F34" s="86">
        <f>$C$17</f>
        <v>50</v>
      </c>
      <c r="G34" s="49"/>
      <c r="H34" s="91"/>
      <c r="I34" s="78"/>
      <c r="J34" s="41"/>
      <c r="K34" s="41"/>
      <c r="L34" s="41"/>
      <c r="M34" s="42"/>
      <c r="O34" s="49"/>
      <c r="P34" s="91"/>
      <c r="Q34" s="78"/>
      <c r="R34" s="41"/>
      <c r="S34" s="41"/>
      <c r="T34" s="41"/>
      <c r="U34" s="42"/>
      <c r="W34" s="49"/>
      <c r="X34" s="91"/>
      <c r="Y34" s="78"/>
      <c r="Z34" s="41"/>
      <c r="AA34" s="41"/>
      <c r="AB34" s="41"/>
      <c r="AC34" s="42"/>
      <c r="AE34" s="49"/>
      <c r="AF34" s="91"/>
      <c r="AG34" s="78"/>
      <c r="AH34" s="41"/>
      <c r="AI34" s="41"/>
      <c r="AJ34" s="41"/>
      <c r="AK34" s="42"/>
    </row>
    <row r="35" spans="2:37">
      <c r="B35" s="31"/>
      <c r="C35" s="201"/>
      <c r="D35" s="8"/>
      <c r="F35" s="82" t="s">
        <v>64</v>
      </c>
      <c r="G35" s="88">
        <f>K$26-K35</f>
        <v>1436.6823463675853</v>
      </c>
      <c r="H35" s="44">
        <f>[1]!srEold(K$10,H29,$C$17)</f>
        <v>57.427188611740547</v>
      </c>
      <c r="I35" s="92">
        <f>I29</f>
        <v>3</v>
      </c>
      <c r="J35" s="41">
        <f>[1]!srE2Rng(K$10,H35)</f>
        <v>1971.5730675938253</v>
      </c>
      <c r="K35" s="41">
        <f>[1]!srE2Rng(K$9,H35)</f>
        <v>1742.1555586999009</v>
      </c>
      <c r="L35" s="41">
        <f>[1]!srE2Rng(K$11,H35)/$C$15/1000</f>
        <v>3413.2697744600155</v>
      </c>
      <c r="M35" s="42">
        <f>[1]!srE2LETt(K$11,H35,0)</f>
        <v>3.288032885054148</v>
      </c>
      <c r="O35" s="88">
        <f>S$26-S35</f>
        <v>150.64246012352692</v>
      </c>
      <c r="P35" s="44">
        <f>[1]!srEold(S$10,P29,$C$17)</f>
        <v>45.953898069457381</v>
      </c>
      <c r="Q35" s="92">
        <f>Q29</f>
        <v>13</v>
      </c>
      <c r="R35" s="41">
        <f>[1]!srE2Rng(S$10,P35)</f>
        <v>838.30988688661739</v>
      </c>
      <c r="S35" s="41">
        <f>[1]!srE2Rng(S$9,P35)</f>
        <v>739.68003015334762</v>
      </c>
      <c r="T35" s="41">
        <f>[1]!srE2Rng(S$11,P35)/$C$15/1000</f>
        <v>1446.4333423804892</v>
      </c>
      <c r="U35" s="42">
        <f>[1]!srE2LETt(S$11,P35,0)</f>
        <v>14.073556117552712</v>
      </c>
      <c r="W35" s="88">
        <f>AA$26-AA35</f>
        <v>-19.402444669420589</v>
      </c>
      <c r="X35" s="44">
        <f>[1]!srEold(AA$10,X29,$C$17)</f>
        <v>19.327017478098984</v>
      </c>
      <c r="Y35" s="92">
        <f>Y29</f>
        <v>50</v>
      </c>
      <c r="Z35" s="41">
        <f>[1]!srE2Rng(AA$10,X35)</f>
        <v>206.82381814422206</v>
      </c>
      <c r="AA35" s="41">
        <f>[1]!srE2Rng(AA$9,X35)</f>
        <v>182.10434922125825</v>
      </c>
      <c r="AB35" s="41">
        <f>[1]!srE2Rng(AA$11,X35)/$C$15/1000</f>
        <v>349.03272784338122</v>
      </c>
      <c r="AC35" s="42">
        <f>[1]!srE2LETt(AA$11,X35,0)</f>
        <v>49.579168510197611</v>
      </c>
      <c r="AE35" s="88">
        <f>AI$26-AI35</f>
        <v>-40.528621863656426</v>
      </c>
      <c r="AF35" s="44">
        <f>[1]!srEold(AI$10,AF29,$C$17)</f>
        <v>12.605246745198119</v>
      </c>
      <c r="AG35" s="92">
        <f>AG29</f>
        <v>90</v>
      </c>
      <c r="AH35" s="41">
        <f>[1]!srE2Rng(AI$10,AF35)</f>
        <v>133.75278241262683</v>
      </c>
      <c r="AI35" s="41">
        <f>[1]!srE2Rng(AI$9,AF35)</f>
        <v>117.75740469368969</v>
      </c>
      <c r="AJ35" s="41">
        <f>[1]!srE2Rng(AI$11,AF35)/$C$15/1000</f>
        <v>221.46249263994906</v>
      </c>
      <c r="AK35" s="42">
        <f>[1]!srE2LETt(AI$11,AF35,0)</f>
        <v>92.737441893942062</v>
      </c>
    </row>
    <row r="36" spans="2:37">
      <c r="B36" s="31"/>
      <c r="C36" s="201"/>
      <c r="D36" s="8"/>
      <c r="F36" s="83" t="s">
        <v>65</v>
      </c>
      <c r="G36" s="88">
        <f>K$26-K36</f>
        <v>2785.4141857042023</v>
      </c>
      <c r="H36" s="44">
        <f>[1]!srEold(K$10,H30,$C$17)</f>
        <v>23.097085632270606</v>
      </c>
      <c r="I36" s="92">
        <f t="shared" ref="I36:I38" si="24">I30</f>
        <v>6</v>
      </c>
      <c r="J36" s="41">
        <f>[1]!srE2Rng(K$10,H36)</f>
        <v>446.71994603716172</v>
      </c>
      <c r="K36" s="41">
        <f>[1]!srE2Rng(K$9,H36)</f>
        <v>393.42371936328396</v>
      </c>
      <c r="L36" s="41">
        <f>[1]!srE2Rng(K$11,H36)/$C$15/1000</f>
        <v>763.10882865081305</v>
      </c>
      <c r="M36" s="42">
        <f>[1]!srE2LETt(K$11,H36,0)</f>
        <v>6.2503434840816183</v>
      </c>
      <c r="O36" s="88">
        <f>S$26-S36</f>
        <v>470.87787314048342</v>
      </c>
      <c r="P36" s="44">
        <f>[1]!srEold(S$10,P30,$C$17)</f>
        <v>31.734482463453077</v>
      </c>
      <c r="Q36" s="92">
        <f t="shared" ref="Q36:Q38" si="25">Q30</f>
        <v>17</v>
      </c>
      <c r="R36" s="41">
        <f>[1]!srE2Rng(S$10,P36)</f>
        <v>475.81481444368256</v>
      </c>
      <c r="S36" s="41">
        <f>[1]!srE2Rng(S$9,P36)</f>
        <v>419.44461713639112</v>
      </c>
      <c r="T36" s="41">
        <f>[1]!srE2Rng(S$11,P36)/$C$15/1000</f>
        <v>817.02850783784572</v>
      </c>
      <c r="U36" s="42">
        <f>[1]!srE2LETt(S$11,P36,0)</f>
        <v>18.145327457736137</v>
      </c>
      <c r="W36" s="88">
        <f>AA$26-AA36</f>
        <v>12.495943735191247</v>
      </c>
      <c r="X36" s="44">
        <f>[1]!srEold(AA$10,X30,$C$17)</f>
        <v>16.464182283997424</v>
      </c>
      <c r="Y36" s="92">
        <f t="shared" ref="Y36:Y38" si="26">Y30</f>
        <v>55</v>
      </c>
      <c r="Z36" s="41">
        <f>[1]!srE2Rng(AA$10,X36)</f>
        <v>170.65420478425753</v>
      </c>
      <c r="AA36" s="41">
        <f>[1]!srE2Rng(AA$9,X36)</f>
        <v>150.20596081664641</v>
      </c>
      <c r="AB36" s="41">
        <f>[1]!srE2Rng(AA$11,X36)/$C$15/1000</f>
        <v>286.27647454753435</v>
      </c>
      <c r="AC36" s="42">
        <f>[1]!srE2LETt(AA$11,X36,0)</f>
        <v>54.065973053873222</v>
      </c>
      <c r="AE36" s="88">
        <f>AI$26-AI36</f>
        <v>-35.776689294172826</v>
      </c>
      <c r="AF36" s="44">
        <f>[1]!srEold(AI$10,AF30,$C$17)</f>
        <v>12.081777015938522</v>
      </c>
      <c r="AG36" s="92">
        <f t="shared" ref="AG36:AG38" si="27">AG30</f>
        <v>91</v>
      </c>
      <c r="AH36" s="41">
        <f>[1]!srE2Rng(AI$10,AF36)</f>
        <v>128.35735897435899</v>
      </c>
      <c r="AI36" s="41">
        <f>[1]!srE2Rng(AI$9,AF36)</f>
        <v>113.00547212420609</v>
      </c>
      <c r="AJ36" s="41">
        <f>[1]!srE2Rng(AI$11,AF36)/$C$15/1000</f>
        <v>212.34412221585751</v>
      </c>
      <c r="AK36" s="42">
        <f>[1]!srE2LETt(AI$11,AF36,0)</f>
        <v>93.858279239120208</v>
      </c>
    </row>
    <row r="37" spans="2:37">
      <c r="B37" s="31"/>
      <c r="C37" s="201"/>
      <c r="D37" s="8"/>
      <c r="F37" s="82" t="s">
        <v>66</v>
      </c>
      <c r="G37" s="88">
        <f>K$26-K37</f>
        <v>3065.8870286237448</v>
      </c>
      <c r="H37" s="44">
        <f>[1]!srEold(K$10,H31,$C$17)</f>
        <v>9.8914186154281083</v>
      </c>
      <c r="I37" s="92">
        <f t="shared" si="24"/>
        <v>12</v>
      </c>
      <c r="J37" s="41">
        <f>[1]!srE2Rng(K$10,H37)</f>
        <v>128.58502716383197</v>
      </c>
      <c r="K37" s="41">
        <f>[1]!srE2Rng(K$9,H37)</f>
        <v>112.95087644374149</v>
      </c>
      <c r="L37" s="41">
        <f>[1]!srE2Rng(K$11,H37)/$C$15/1000</f>
        <v>214.32577894928258</v>
      </c>
      <c r="M37" s="42">
        <f>[1]!srE2LETt(K$11,H37,0)</f>
        <v>11.248749411245088</v>
      </c>
      <c r="O37" s="88">
        <f>S$26-S37</f>
        <v>735.53633820007394</v>
      </c>
      <c r="P37" s="44">
        <f>[1]!srEold(S$10,P31,$C$17)</f>
        <v>15.55943501321209</v>
      </c>
      <c r="Q37" s="92">
        <f t="shared" si="25"/>
        <v>29</v>
      </c>
      <c r="R37" s="41">
        <f>[1]!srE2Rng(S$10,P37)</f>
        <v>175.92089767777378</v>
      </c>
      <c r="S37" s="41">
        <f>[1]!srE2Rng(S$9,P37)</f>
        <v>154.78615207680062</v>
      </c>
      <c r="T37" s="41">
        <f>[1]!srE2Rng(S$11,P37)/$C$15/1000</f>
        <v>295.3734370787443</v>
      </c>
      <c r="U37" s="42">
        <f>[1]!srE2LETt(S$11,P37,0)</f>
        <v>28.221404871861242</v>
      </c>
      <c r="W37" s="88">
        <f>AA$26-AA37</f>
        <v>37.145766120077724</v>
      </c>
      <c r="X37" s="44">
        <f>[1]!srEold(AA$10,X31,$C$17)</f>
        <v>14.071793114967402</v>
      </c>
      <c r="Y37" s="92">
        <f t="shared" si="26"/>
        <v>60</v>
      </c>
      <c r="Z37" s="41">
        <f>[1]!srE2Rng(AA$10,X37)</f>
        <v>142.69240068175205</v>
      </c>
      <c r="AA37" s="41">
        <f>[1]!srE2Rng(AA$9,X37)</f>
        <v>125.55613843175993</v>
      </c>
      <c r="AB37" s="41">
        <f>[1]!srE2Rng(AA$11,X37)/$C$15/1000</f>
        <v>238.35364312073119</v>
      </c>
      <c r="AC37" s="42">
        <f>[1]!srE2LETt(AA$11,X37,0)</f>
        <v>58.565831230523131</v>
      </c>
      <c r="AE37" s="88">
        <f>AI$26-AI37</f>
        <v>-30.843964384340893</v>
      </c>
      <c r="AF37" s="44">
        <f>[1]!srEold(AI$10,AF31,$C$17)</f>
        <v>11.53839132279044</v>
      </c>
      <c r="AG37" s="92">
        <f t="shared" si="27"/>
        <v>92</v>
      </c>
      <c r="AH37" s="41">
        <f>[1]!srE2Rng(AI$10,AF37)</f>
        <v>122.75666089965398</v>
      </c>
      <c r="AI37" s="41">
        <f>[1]!srE2Rng(AI$9,AF37)</f>
        <v>108.07274721437416</v>
      </c>
      <c r="AJ37" s="41">
        <f>[1]!srE2Rng(AI$11,AF37)/$C$15/1000</f>
        <v>202.87883366844883</v>
      </c>
      <c r="AK37" s="42">
        <f>[1]!srE2LETt(AI$11,AF37,0)</f>
        <v>95.021760035951246</v>
      </c>
    </row>
    <row r="38" spans="2:37" s="9" customFormat="1">
      <c r="B38" s="31"/>
      <c r="C38" s="201"/>
      <c r="D38" s="8"/>
      <c r="F38" s="82" t="s">
        <v>78</v>
      </c>
      <c r="G38" s="88">
        <f>K$26-K38</f>
        <v>3115.3947410434293</v>
      </c>
      <c r="H38" s="44">
        <f>[1]!srEold(K$10,H32,$C$17)</f>
        <v>6.3162133223983972</v>
      </c>
      <c r="I38" s="92">
        <f t="shared" si="24"/>
        <v>18</v>
      </c>
      <c r="J38" s="41">
        <f>[1]!srE2Rng(K$10,H38)</f>
        <v>72.287580645161299</v>
      </c>
      <c r="K38" s="41">
        <f>[1]!srE2Rng(K$9,H38)</f>
        <v>63.44316402405687</v>
      </c>
      <c r="L38" s="41">
        <f>[1]!srE2Rng(K$11,H38)/$C$15/1000</f>
        <v>119.54543704139789</v>
      </c>
      <c r="M38" s="42">
        <f>[1]!srE2LETt(K$11,H38,0)</f>
        <v>14.106098358793512</v>
      </c>
      <c r="O38" s="88">
        <f>S$26-S38</f>
        <v>804.15636491529472</v>
      </c>
      <c r="P38" s="44">
        <f>[1]!srEold(S$10,P32,$C$17)</f>
        <v>9.4925967954291313</v>
      </c>
      <c r="Q38" s="92">
        <f t="shared" si="25"/>
        <v>39</v>
      </c>
      <c r="R38" s="41">
        <f>[1]!srE2Rng(S$10,P38)</f>
        <v>98.014699828473397</v>
      </c>
      <c r="S38" s="41">
        <f>[1]!srE2Rng(S$9,P38)</f>
        <v>86.166125361579844</v>
      </c>
      <c r="T38" s="41">
        <f>[1]!srE2Rng(S$11,P38)/$C$15/1000</f>
        <v>163.27006410584727</v>
      </c>
      <c r="U38" s="42">
        <f>[1]!srE2LETt(S$11,P38,0)</f>
        <v>36.641049130411005</v>
      </c>
      <c r="W38" s="88">
        <f>AA$26-AA38</f>
        <v>70.810571923536045</v>
      </c>
      <c r="X38" s="44">
        <f>[1]!srEold(AA$10,X32,$C$17)</f>
        <v>10.515968430069252</v>
      </c>
      <c r="Y38" s="92">
        <f t="shared" si="26"/>
        <v>68</v>
      </c>
      <c r="Z38" s="41">
        <f>[1]!srE2Rng(AA$10,X38)</f>
        <v>104.46986081605742</v>
      </c>
      <c r="AA38" s="41">
        <f>[1]!srE2Rng(AA$9,X38)</f>
        <v>91.891332628301612</v>
      </c>
      <c r="AB38" s="41">
        <f>[1]!srE2Rng(AA$11,X38)/$C$15/1000</f>
        <v>173.65749884482804</v>
      </c>
      <c r="AC38" s="42">
        <f>[1]!srE2LETt(AA$11,X38,0)</f>
        <v>66.175792378555869</v>
      </c>
      <c r="AE38" s="88">
        <f>AI$26-AI38</f>
        <v>-25.493495826195769</v>
      </c>
      <c r="AF38" s="44">
        <f>[1]!srEold(AI$10,AF32,$C$17)</f>
        <v>10.9367899001755</v>
      </c>
      <c r="AG38" s="92">
        <f t="shared" si="27"/>
        <v>93</v>
      </c>
      <c r="AH38" s="41">
        <f>[1]!srE2Rng(AI$10,AF38)</f>
        <v>116.67811003147663</v>
      </c>
      <c r="AI38" s="41">
        <f>[1]!srE2Rng(AI$9,AF38)</f>
        <v>102.72227865622904</v>
      </c>
      <c r="AJ38" s="41">
        <f>[1]!srE2Rng(AI$11,AF38)/$C$15/1000</f>
        <v>192.63244094383288</v>
      </c>
      <c r="AK38" s="42">
        <f>[1]!srE2LETt(AI$11,AF38,0)</f>
        <v>96.306702459171944</v>
      </c>
    </row>
    <row r="39" spans="2:37">
      <c r="B39" s="31"/>
      <c r="C39" s="201"/>
      <c r="D39" s="8"/>
      <c r="F39" s="77" t="s">
        <v>15</v>
      </c>
      <c r="G39" s="88">
        <f>K$26-K39</f>
        <v>3122.934315020093</v>
      </c>
      <c r="H39" s="44">
        <f>[1]!srEold(K$10,H33,$C$17)</f>
        <v>5.6835011848341237</v>
      </c>
      <c r="I39" s="93">
        <f>I33</f>
        <v>18.666679999999999</v>
      </c>
      <c r="J39" s="41">
        <f>[1]!srE2Rng(K$10,H39)</f>
        <v>63.7</v>
      </c>
      <c r="K39" s="41">
        <f>[1]!srE2Rng(K$9,H39)</f>
        <v>55.903590047393372</v>
      </c>
      <c r="L39" s="41">
        <f>[1]!srE2Rng(K$11,H39)/$C$15/1000</f>
        <v>104.96721381226521</v>
      </c>
      <c r="M39" s="42">
        <f>[1]!srE2LETt(K$11,H39,0)</f>
        <v>14.749537786729858</v>
      </c>
      <c r="O39" s="88">
        <f>S$26-S39</f>
        <v>823.68477183027255</v>
      </c>
      <c r="P39" s="44">
        <f>[1]!srEold(S$10,P33,$C$17)</f>
        <v>7.4462552011095706</v>
      </c>
      <c r="Q39" s="93">
        <f>Q33</f>
        <v>40.998339999999999</v>
      </c>
      <c r="R39" s="41">
        <f>[1]!srE2Rng(S$10,P39)</f>
        <v>75.81</v>
      </c>
      <c r="S39" s="41">
        <f>[1]!srE2Rng(S$9,P39)</f>
        <v>66.637718446601937</v>
      </c>
      <c r="T39" s="41">
        <f>[1]!srE2Rng(S$11,P39)/$C$15/1000</f>
        <v>125.94223887999695</v>
      </c>
      <c r="U39" s="42">
        <f>[1]!srE2LETt(S$11,P39,0)</f>
        <v>39.838664223300967</v>
      </c>
      <c r="W39" s="88">
        <f>AA$26-AA39</f>
        <v>81.907456999390106</v>
      </c>
      <c r="X39" s="44">
        <f>[1]!srEold(AA$10,X33,$C$17)</f>
        <v>9.2472233648704236</v>
      </c>
      <c r="Y39" s="93">
        <f>Y33</f>
        <v>69.365600000000001</v>
      </c>
      <c r="Z39" s="41">
        <f>[1]!srE2Rng(AA$10,X39)</f>
        <v>91.86</v>
      </c>
      <c r="AA39" s="41">
        <f>[1]!srE2Rng(AA$9,X39)</f>
        <v>80.794447552447551</v>
      </c>
      <c r="AB39" s="41">
        <f>[1]!srE2Rng(AA$11,X39)/$C$15/1000</f>
        <v>152.45806365500246</v>
      </c>
      <c r="AC39" s="42">
        <f>[1]!srE2LETt(AA$11,X39,0)</f>
        <v>69.023826559440565</v>
      </c>
      <c r="AE39" s="88">
        <f>AI$26-AI39</f>
        <v>-12.26257989541763</v>
      </c>
      <c r="AF39" s="44">
        <f>[1]!srEold(AI$10,AF33,$C$17)</f>
        <v>9.4259585160168058</v>
      </c>
      <c r="AG39" s="93">
        <f>AG33</f>
        <v>94.366200000000006</v>
      </c>
      <c r="AH39" s="41">
        <f>[1]!srE2Rng(AI$10,AF39)</f>
        <v>101.65</v>
      </c>
      <c r="AI39" s="41">
        <f>[1]!srE2Rng(AI$9,AF39)</f>
        <v>89.491362725450898</v>
      </c>
      <c r="AJ39" s="41">
        <f>[1]!srE2Rng(AI$11,AF39)/$C$15/1000</f>
        <v>167.35066932482937</v>
      </c>
      <c r="AK39" s="42">
        <f>[1]!srE2LETt(AI$11,AF39,0)</f>
        <v>99.468466132264524</v>
      </c>
    </row>
    <row r="40" spans="2:37" s="9" customFormat="1"/>
    <row r="41" spans="2:37" s="9" customFormat="1"/>
    <row r="46" spans="2:37" s="9" customFormat="1"/>
    <row r="48" spans="2:37">
      <c r="F48" s="34"/>
      <c r="G48" s="34"/>
      <c r="H48" s="22"/>
      <c r="I48" s="45"/>
      <c r="J48" s="45"/>
      <c r="K48" s="7"/>
      <c r="L48" s="7"/>
      <c r="M48" s="7"/>
      <c r="O48" s="34"/>
      <c r="P48" s="22"/>
      <c r="Q48" s="45"/>
      <c r="R48" s="45"/>
      <c r="S48" s="7"/>
      <c r="T48" s="7"/>
      <c r="U48" s="7"/>
      <c r="W48" s="34"/>
      <c r="X48" s="22"/>
      <c r="Y48" s="45"/>
      <c r="Z48" s="45"/>
      <c r="AA48" s="7"/>
      <c r="AB48" s="7"/>
      <c r="AC48" s="7"/>
      <c r="AE48" s="34"/>
      <c r="AF48" s="22"/>
      <c r="AG48" s="45"/>
      <c r="AH48" s="45"/>
      <c r="AI48" s="7"/>
      <c r="AJ48" s="7"/>
      <c r="AK48" s="7"/>
    </row>
    <row r="49" spans="1:34">
      <c r="I49" s="2"/>
      <c r="J49" s="2"/>
      <c r="Q49" s="2"/>
      <c r="R49" s="2"/>
      <c r="Y49" s="2"/>
      <c r="Z49" s="2"/>
      <c r="AG49" s="2"/>
      <c r="AH49" s="2"/>
    </row>
    <row r="50" spans="1:34">
      <c r="F50" s="34"/>
      <c r="G50" s="34"/>
      <c r="H50" s="35"/>
      <c r="O50" s="34"/>
      <c r="P50" s="35"/>
      <c r="W50" s="34"/>
      <c r="X50" s="35"/>
      <c r="AE50" s="34"/>
      <c r="AF50" s="35"/>
    </row>
    <row r="58" spans="1:34">
      <c r="A58" s="8"/>
    </row>
    <row r="59" spans="1:34">
      <c r="A59" s="8"/>
      <c r="B59" s="8"/>
      <c r="C59" s="8"/>
    </row>
    <row r="60" spans="1:34">
      <c r="A60" s="8"/>
      <c r="B60" s="31"/>
      <c r="C60" s="18"/>
    </row>
    <row r="64" spans="1:34">
      <c r="B64" s="28"/>
      <c r="C64" s="28"/>
    </row>
  </sheetData>
  <phoneticPr fontId="18"/>
  <pageMargins left="0.25" right="0.25" top="0.75" bottom="0.75" header="0.3" footer="0.3"/>
  <pageSetup paperSize="9" scale="72" fitToHeight="0" orientation="landscape" r:id="rId1"/>
  <headerFooter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ビーム希望表</vt:lpstr>
      <vt:lpstr>LET範囲推定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ayoshida</cp:lastModifiedBy>
  <cp:lastPrinted>2017-03-16T05:29:11Z</cp:lastPrinted>
  <dcterms:created xsi:type="dcterms:W3CDTF">2008-11-07T05:47:18Z</dcterms:created>
  <dcterms:modified xsi:type="dcterms:W3CDTF">2018-09-05T00:59:26Z</dcterms:modified>
</cp:coreProperties>
</file>