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yoshida\Documents\__Today__\_E5A_HP更新\220828_HP改_SRIMfit入門\"/>
    </mc:Choice>
  </mc:AlternateContent>
  <xr:revisionPtr revIDLastSave="0" documentId="13_ncr:1_{A4942FF6-2BD2-4FE1-83D2-8277C433576D}" xr6:coauthVersionLast="47" xr6:coauthVersionMax="47" xr10:uidLastSave="{00000000-0000-0000-0000-000000000000}"/>
  <bookViews>
    <workbookView xWindow="6468" yWindow="1740" windowWidth="15936" windowHeight="16920" tabRatio="842" activeTab="1" xr2:uid="{00000000-000D-0000-FFFF-FFFF00000000}"/>
  </bookViews>
  <sheets>
    <sheet name="VerLog" sheetId="179" r:id="rId1"/>
    <sheet name="ex01" sheetId="183" r:id="rId2"/>
    <sheet name="ex02" sheetId="186" r:id="rId3"/>
    <sheet name="eg03" sheetId="192" r:id="rId4"/>
    <sheet name="ex04" sheetId="187" r:id="rId5"/>
    <sheet name="ex05" sheetId="190" r:id="rId6"/>
    <sheet name="ex06" sheetId="194" r:id="rId7"/>
    <sheet name="ex07" sheetId="196" r:id="rId8"/>
    <sheet name="note" sheetId="188" r:id="rId9"/>
  </sheets>
  <externalReferences>
    <externalReference r:id="rId10"/>
    <externalReference r:id="rId11"/>
  </externalReferences>
  <definedNames>
    <definedName name="WBtitle" localSheetId="3">[1]VerLog!$C$4</definedName>
    <definedName name="WBtitle">VerLog!$C$4</definedName>
    <definedName name="Z_3AC4C5A4_CC01_4AA2_8975_95BDDCF33CBA_.wvu.Cols" localSheetId="1" hidden="1">'ex01'!#REF!,'ex01'!#REF!,'ex01'!#REF!,'ex01'!#REF!</definedName>
    <definedName name="Z_3AC4C5A4_CC01_4AA2_8975_95BDDCF33CBA_.wvu.Cols" localSheetId="2" hidden="1">'ex02'!#REF!,'ex02'!#REF!,'ex02'!#REF!,'ex02'!#REF!</definedName>
    <definedName name="Z_3AC4C5A4_CC01_4AA2_8975_95BDDCF33CBA_.wvu.Cols" localSheetId="4" hidden="1">'ex04'!#REF!,'ex04'!#REF!,'ex04'!#REF!,'ex04'!#REF!</definedName>
    <definedName name="Z_3AC4C5A4_CC01_4AA2_8975_95BDDCF33CBA_.wvu.Cols" localSheetId="5" hidden="1">'ex05'!#REF!,'ex05'!#REF!,'ex05'!#REF!,'ex05'!#REF!</definedName>
    <definedName name="Z_3AC4C5A4_CC01_4AA2_8975_95BDDCF33CBA_.wvu.Cols" localSheetId="6" hidden="1">'ex06'!#REF!,'ex06'!#REF!,'ex06'!#REF!,'ex06'!#REF!</definedName>
    <definedName name="Z_3AC4C5A4_CC01_4AA2_8975_95BDDCF33CBA_.wvu.Cols" localSheetId="7" hidden="1">'ex07'!#REF!,'ex07'!#REF!,'ex07'!#REF!,'ex07'!#REF!</definedName>
    <definedName name="Z_8A5D6D5C_C043_4E6B_AB9F_8AB531120421_.wvu.Cols" localSheetId="1" hidden="1">'ex01'!#REF!,'ex01'!#REF!,'ex01'!#REF!,'ex01'!#REF!</definedName>
    <definedName name="Z_8A5D6D5C_C043_4E6B_AB9F_8AB531120421_.wvu.Cols" localSheetId="2" hidden="1">'ex02'!#REF!,'ex02'!#REF!,'ex02'!#REF!,'ex02'!#REF!</definedName>
    <definedName name="Z_8A5D6D5C_C043_4E6B_AB9F_8AB531120421_.wvu.Cols" localSheetId="4" hidden="1">'ex04'!#REF!,'ex04'!#REF!,'ex04'!#REF!,'ex04'!#REF!</definedName>
    <definedName name="Z_8A5D6D5C_C043_4E6B_AB9F_8AB531120421_.wvu.Cols" localSheetId="5" hidden="1">'ex05'!#REF!,'ex05'!#REF!,'ex05'!#REF!,'ex05'!#REF!</definedName>
    <definedName name="Z_8A5D6D5C_C043_4E6B_AB9F_8AB531120421_.wvu.Cols" localSheetId="6" hidden="1">'ex06'!#REF!,'ex06'!#REF!,'ex06'!#REF!,'ex06'!#REF!</definedName>
    <definedName name="Z_8A5D6D5C_C043_4E6B_AB9F_8AB531120421_.wvu.Cols" localSheetId="7" hidden="1">'ex07'!#REF!,'ex07'!#REF!,'ex07'!#REF!,'ex07'!#REF!</definedName>
  </definedNames>
  <calcPr calcId="181029" iterate="1" iterateCount="1000"/>
  <customWorkbookViews>
    <customWorkbookView name="view1" guid="{8A5D6D5C-C043-4E6B-AB9F-8AB531120421}" xWindow="9" yWindow="76" windowWidth="1821" windowHeight="634" activeSheetId="80"/>
    <customWorkbookView name="view2" guid="{3AC4C5A4-CC01-4AA2-8975-95BDDCF33CBA}" xWindow="9" yWindow="76" windowWidth="1821" windowHeight="634" activeSheetId="8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196" l="1"/>
  <c r="R11" i="196"/>
  <c r="B2" i="196"/>
  <c r="F19" i="196"/>
  <c r="F18" i="196"/>
  <c r="F17" i="196"/>
  <c r="F16" i="196"/>
  <c r="P14" i="196"/>
  <c r="N14" i="196"/>
  <c r="L14" i="196"/>
  <c r="J14" i="196"/>
  <c r="T11" i="194"/>
  <c r="Q18" i="190"/>
  <c r="P14" i="190"/>
  <c r="N14" i="190"/>
  <c r="L14" i="190"/>
  <c r="J14" i="190"/>
  <c r="J14" i="194"/>
  <c r="L14" i="194"/>
  <c r="N14" i="194"/>
  <c r="P14" i="194"/>
  <c r="R14" i="194"/>
  <c r="F20" i="194"/>
  <c r="F19" i="194"/>
  <c r="F21" i="194"/>
  <c r="F18" i="194"/>
  <c r="F17" i="194"/>
  <c r="F16" i="194"/>
  <c r="B2" i="194"/>
  <c r="B2" i="192"/>
  <c r="B41" i="192"/>
  <c r="B42" i="192" s="1"/>
  <c r="B43" i="192" s="1"/>
  <c r="B44" i="192" s="1"/>
  <c r="B45" i="192" s="1"/>
  <c r="B46" i="192" s="1"/>
  <c r="B47" i="192" s="1"/>
  <c r="B48" i="192" s="1"/>
  <c r="B49" i="192" s="1"/>
  <c r="B50" i="192" s="1"/>
  <c r="B51" i="192" s="1"/>
  <c r="B52" i="192" s="1"/>
  <c r="B53" i="192" s="1"/>
  <c r="B54" i="192" s="1"/>
  <c r="B55" i="192" s="1"/>
  <c r="B56" i="192" s="1"/>
  <c r="B57" i="192" s="1"/>
  <c r="B58" i="192" s="1"/>
  <c r="B59" i="192" s="1"/>
  <c r="B60" i="192" s="1"/>
  <c r="B61" i="192" s="1"/>
  <c r="B62" i="192" s="1"/>
  <c r="B63" i="192" s="1"/>
  <c r="B64" i="192" s="1"/>
  <c r="B65" i="192" s="1"/>
  <c r="B66" i="192" s="1"/>
  <c r="B67" i="192" s="1"/>
  <c r="B68" i="192" s="1"/>
  <c r="B69" i="192" s="1"/>
  <c r="B70" i="192" s="1"/>
  <c r="B71" i="192" s="1"/>
  <c r="B72" i="192" s="1"/>
  <c r="B73" i="192" s="1"/>
  <c r="B74" i="192" s="1"/>
  <c r="B75" i="192" s="1"/>
  <c r="B76" i="192" s="1"/>
  <c r="B77" i="192" s="1"/>
  <c r="B78" i="192" s="1"/>
  <c r="B79" i="192" s="1"/>
  <c r="B80" i="192" s="1"/>
  <c r="B81" i="192" s="1"/>
  <c r="B82" i="192" s="1"/>
  <c r="B83" i="192" s="1"/>
  <c r="B84" i="192" s="1"/>
  <c r="B85" i="192" s="1"/>
  <c r="B86" i="192" s="1"/>
  <c r="B87" i="192" s="1"/>
  <c r="B88" i="192" s="1"/>
  <c r="B89" i="192" s="1"/>
  <c r="B90" i="192" s="1"/>
  <c r="I13" i="192"/>
  <c r="I14" i="192" s="1"/>
  <c r="I15" i="192" s="1"/>
  <c r="I16" i="192" s="1"/>
  <c r="I17" i="192" s="1"/>
  <c r="I18" i="192" s="1"/>
  <c r="I19" i="192" s="1"/>
  <c r="L20" i="196"/>
  <c r="L26" i="196"/>
  <c r="J26" i="196"/>
  <c r="R20" i="196"/>
  <c r="P20" i="196" s="1"/>
  <c r="P23" i="196" s="1"/>
  <c r="R13" i="196"/>
  <c r="T13" i="194"/>
  <c r="R20" i="194"/>
  <c r="P20" i="194"/>
  <c r="N20" i="194"/>
  <c r="J20" i="196"/>
  <c r="L23" i="196" s="1"/>
  <c r="F76" i="192"/>
  <c r="C43" i="192"/>
  <c r="H88" i="192"/>
  <c r="L13" i="192"/>
  <c r="K19" i="192"/>
  <c r="D56" i="192"/>
  <c r="G69" i="192"/>
  <c r="E75" i="192"/>
  <c r="H38" i="192"/>
  <c r="F87" i="192"/>
  <c r="B94" i="192"/>
  <c r="M12" i="192"/>
  <c r="G51" i="192"/>
  <c r="F78" i="192"/>
  <c r="D77" i="192"/>
  <c r="F84" i="192"/>
  <c r="C51" i="192"/>
  <c r="H82" i="192"/>
  <c r="G52" i="192"/>
  <c r="O15" i="192"/>
  <c r="G75" i="192"/>
  <c r="C58" i="192"/>
  <c r="C41" i="192"/>
  <c r="E70" i="192"/>
  <c r="H51" i="192"/>
  <c r="M18" i="192"/>
  <c r="J9" i="192"/>
  <c r="E81" i="192"/>
  <c r="F42" i="192"/>
  <c r="D83" i="192"/>
  <c r="D50" i="192"/>
  <c r="F79" i="192"/>
  <c r="C62" i="192"/>
  <c r="O18" i="192"/>
  <c r="C45" i="192"/>
  <c r="O12" i="192"/>
  <c r="D43" i="192"/>
  <c r="T20" i="194"/>
  <c r="C72" i="192"/>
  <c r="E73" i="192"/>
  <c r="E67" i="192"/>
  <c r="O14" i="192"/>
  <c r="D79" i="192"/>
  <c r="C71" i="192"/>
  <c r="C80" i="192"/>
  <c r="E27" i="192"/>
  <c r="O16" i="192"/>
  <c r="F61" i="192"/>
  <c r="O19" i="192"/>
  <c r="F82" i="192"/>
  <c r="G46" i="192"/>
  <c r="D66" i="192"/>
  <c r="M13" i="192"/>
  <c r="C78" i="192"/>
  <c r="H68" i="192"/>
  <c r="C77" i="192"/>
  <c r="C20" i="192"/>
  <c r="C17" i="192"/>
  <c r="C65" i="192"/>
  <c r="L12" i="192"/>
  <c r="H75" i="192"/>
  <c r="F66" i="192"/>
  <c r="H74" i="192"/>
  <c r="M17" i="192"/>
  <c r="E46" i="192"/>
  <c r="E80" i="192"/>
  <c r="D74" i="192"/>
  <c r="D28" i="192"/>
  <c r="D86" i="192"/>
  <c r="E87" i="192"/>
  <c r="G78" i="192"/>
  <c r="D67" i="192"/>
  <c r="F48" i="192"/>
  <c r="H80" i="192"/>
  <c r="C60" i="192"/>
  <c r="F41" i="192"/>
  <c r="E68" i="192"/>
  <c r="C27" i="192"/>
  <c r="C21" i="192"/>
  <c r="P17" i="192"/>
  <c r="D46" i="192"/>
  <c r="G90" i="192"/>
  <c r="D69" i="192"/>
  <c r="G50" i="192"/>
  <c r="H61" i="192"/>
  <c r="G88" i="192"/>
  <c r="C69" i="192"/>
  <c r="H71" i="192"/>
  <c r="C81" i="192"/>
  <c r="E55" i="192"/>
  <c r="E58" i="192"/>
  <c r="C57" i="192"/>
  <c r="F86" i="192"/>
  <c r="H67" i="192"/>
  <c r="F50" i="192"/>
  <c r="H58" i="192"/>
  <c r="D65" i="192"/>
  <c r="C86" i="192"/>
  <c r="F38" i="192"/>
  <c r="E28" i="192"/>
  <c r="F89" i="192"/>
  <c r="D38" i="192"/>
  <c r="E54" i="192"/>
  <c r="D51" i="192"/>
  <c r="L17" i="192"/>
  <c r="C67" i="192"/>
  <c r="G73" i="192"/>
  <c r="E51" i="192"/>
  <c r="J15" i="192"/>
  <c r="G65" i="192"/>
  <c r="D44" i="192"/>
  <c r="F59" i="192"/>
  <c r="H54" i="192"/>
  <c r="D85" i="192"/>
  <c r="G66" i="192"/>
  <c r="D48" i="192"/>
  <c r="F56" i="192"/>
  <c r="C56" i="192"/>
  <c r="F88" i="192"/>
  <c r="G53" i="192"/>
  <c r="C84" i="192"/>
  <c r="F65" i="192"/>
  <c r="G43" i="192"/>
  <c r="D54" i="192"/>
  <c r="D49" i="192"/>
  <c r="D27" i="192"/>
  <c r="C74" i="192"/>
  <c r="H62" i="192"/>
  <c r="C9" i="192"/>
  <c r="G74" i="192"/>
  <c r="D64" i="192"/>
  <c r="F72" i="192"/>
  <c r="C63" i="192"/>
  <c r="P15" i="192"/>
  <c r="F70" i="192"/>
  <c r="G48" i="192"/>
  <c r="J13" i="192"/>
  <c r="H47" i="192"/>
  <c r="E71" i="192"/>
  <c r="B93" i="192"/>
  <c r="D58" i="192"/>
  <c r="F69" i="192"/>
  <c r="G79" i="192"/>
  <c r="H57" i="192"/>
  <c r="E38" i="192"/>
  <c r="C66" i="192"/>
  <c r="J14" i="192"/>
  <c r="P18" i="192"/>
  <c r="C82" i="192"/>
  <c r="C49" i="192"/>
  <c r="G57" i="192"/>
  <c r="E74" i="192"/>
  <c r="G45" i="192"/>
  <c r="C76" i="192"/>
  <c r="F57" i="192"/>
  <c r="O13" i="192"/>
  <c r="E60" i="192"/>
  <c r="E45" i="192"/>
  <c r="E86" i="192"/>
  <c r="E47" i="192"/>
  <c r="G58" i="192"/>
  <c r="F44" i="192"/>
  <c r="H73" i="192"/>
  <c r="E56" i="192"/>
  <c r="F75" i="192"/>
  <c r="D20" i="192"/>
  <c r="E44" i="192"/>
  <c r="H63" i="192"/>
  <c r="E43" i="192"/>
  <c r="G72" i="192"/>
  <c r="D55" i="192"/>
  <c r="C64" i="192"/>
  <c r="J16" i="192"/>
  <c r="D23" i="192"/>
  <c r="F43" i="192"/>
  <c r="F83" i="192"/>
  <c r="F52" i="192"/>
  <c r="H81" i="192"/>
  <c r="E64" i="192"/>
  <c r="E41" i="192"/>
  <c r="G49" i="192"/>
  <c r="G55" i="192"/>
  <c r="H86" i="192"/>
  <c r="D60" i="192"/>
  <c r="D21" i="192"/>
  <c r="F64" i="192"/>
  <c r="C10" i="192"/>
  <c r="D57" i="192"/>
  <c r="F46" i="192"/>
  <c r="E77" i="192"/>
  <c r="P14" i="192"/>
  <c r="E69" i="192"/>
  <c r="F47" i="192"/>
  <c r="C12" i="192"/>
  <c r="F45" i="192"/>
  <c r="D62" i="192"/>
  <c r="D68" i="192"/>
  <c r="G89" i="192"/>
  <c r="H56" i="192"/>
  <c r="H78" i="192"/>
  <c r="H69" i="192"/>
  <c r="G86" i="192"/>
  <c r="G64" i="192"/>
  <c r="D47" i="192"/>
  <c r="D80" i="192"/>
  <c r="F67" i="192"/>
  <c r="C14" i="192"/>
  <c r="H46" i="192"/>
  <c r="H65" i="192"/>
  <c r="D76" i="192"/>
  <c r="D59" i="192"/>
  <c r="C85" i="192"/>
  <c r="C89" i="192"/>
  <c r="C11" i="192"/>
  <c r="D63" i="192"/>
  <c r="F60" i="192"/>
  <c r="F85" i="192"/>
  <c r="C90" i="192"/>
  <c r="E85" i="192"/>
  <c r="F63" i="192"/>
  <c r="C46" i="192"/>
  <c r="F77" i="192"/>
  <c r="G60" i="192"/>
  <c r="G83" i="192"/>
  <c r="C79" i="192"/>
  <c r="D84" i="192"/>
  <c r="E62" i="192"/>
  <c r="H43" i="192"/>
  <c r="D75" i="192"/>
  <c r="F51" i="192"/>
  <c r="G68" i="192"/>
  <c r="H42" i="192"/>
  <c r="C61" i="192"/>
  <c r="D42" i="192"/>
  <c r="F71" i="192"/>
  <c r="C54" i="192"/>
  <c r="E50" i="192"/>
  <c r="D88" i="192"/>
  <c r="D45" i="192"/>
  <c r="E83" i="192"/>
  <c r="H48" i="192"/>
  <c r="G81" i="192"/>
  <c r="L16" i="192"/>
  <c r="H84" i="192"/>
  <c r="G67" i="192"/>
  <c r="G56" i="192"/>
  <c r="H87" i="192"/>
  <c r="G85" i="192"/>
  <c r="C59" i="192"/>
  <c r="L19" i="192"/>
  <c r="C53" i="192"/>
  <c r="E82" i="192"/>
  <c r="D41" i="192"/>
  <c r="D89" i="192"/>
  <c r="K18" i="192"/>
  <c r="C88" i="192"/>
  <c r="O17" i="192"/>
  <c r="D73" i="192"/>
  <c r="H77" i="192"/>
  <c r="H55" i="192"/>
  <c r="E72" i="192"/>
  <c r="D87" i="192"/>
  <c r="F58" i="192"/>
  <c r="P19" i="192"/>
  <c r="C75" i="192"/>
  <c r="D53" i="192"/>
  <c r="M16" i="192"/>
  <c r="G54" i="192"/>
  <c r="C42" i="192"/>
  <c r="M14" i="192"/>
  <c r="P16" i="192"/>
  <c r="H72" i="192"/>
  <c r="C52" i="192"/>
  <c r="L15" i="192"/>
  <c r="E52" i="192"/>
  <c r="K17" i="192"/>
  <c r="G44" i="192"/>
  <c r="G76" i="192"/>
  <c r="H60" i="192"/>
  <c r="C83" i="192"/>
  <c r="D61" i="192"/>
  <c r="G42" i="192"/>
  <c r="G70" i="192"/>
  <c r="E42" i="192"/>
  <c r="E48" i="192"/>
  <c r="C73" i="192"/>
  <c r="C22" i="192"/>
  <c r="H83" i="192"/>
  <c r="E84" i="192"/>
  <c r="H66" i="192"/>
  <c r="C47" i="192"/>
  <c r="F49" i="192"/>
  <c r="D78" i="192"/>
  <c r="D82" i="192"/>
  <c r="G47" i="192"/>
  <c r="F80" i="192"/>
  <c r="H50" i="192"/>
  <c r="E76" i="192"/>
  <c r="E65" i="192"/>
  <c r="E78" i="192"/>
  <c r="J17" i="192"/>
  <c r="C68" i="192"/>
  <c r="C16" i="192"/>
  <c r="P12" i="192"/>
  <c r="H64" i="192"/>
  <c r="C44" i="192"/>
  <c r="G62" i="192"/>
  <c r="K16" i="192"/>
  <c r="C23" i="192"/>
  <c r="L14" i="192"/>
  <c r="F55" i="192"/>
  <c r="C87" i="192"/>
  <c r="C38" i="192"/>
  <c r="M15" i="192"/>
  <c r="D52" i="192"/>
  <c r="F74" i="192"/>
  <c r="E61" i="192"/>
  <c r="F81" i="192"/>
  <c r="D22" i="192"/>
  <c r="F90" i="192"/>
  <c r="G41" i="192"/>
  <c r="H45" i="192"/>
  <c r="J12" i="192"/>
  <c r="G63" i="192"/>
  <c r="H41" i="192"/>
  <c r="F53" i="192"/>
  <c r="C15" i="192"/>
  <c r="K15" i="192"/>
  <c r="D72" i="192"/>
  <c r="D90" i="192"/>
  <c r="F62" i="192"/>
  <c r="G38" i="192"/>
  <c r="G84" i="192"/>
  <c r="K13" i="192"/>
  <c r="H90" i="192"/>
  <c r="E49" i="192"/>
  <c r="F68" i="192"/>
  <c r="P13" i="192"/>
  <c r="G71" i="192"/>
  <c r="H49" i="192"/>
  <c r="K14" i="192"/>
  <c r="C50" i="192"/>
  <c r="E89" i="192"/>
  <c r="H52" i="192"/>
  <c r="G61" i="192"/>
  <c r="J18" i="192"/>
  <c r="F73" i="192"/>
  <c r="G59" i="192"/>
  <c r="D70" i="192"/>
  <c r="C13" i="192"/>
  <c r="C55" i="192"/>
  <c r="J19" i="192"/>
  <c r="H70" i="192"/>
  <c r="M19" i="192"/>
  <c r="G82" i="192"/>
  <c r="D81" i="192"/>
  <c r="H89" i="192"/>
  <c r="H44" i="192"/>
  <c r="E79" i="192"/>
  <c r="L18" i="192"/>
  <c r="D71" i="192"/>
  <c r="E90" i="192"/>
  <c r="E88" i="192"/>
  <c r="F54" i="192"/>
  <c r="G87" i="192"/>
  <c r="K12" i="192"/>
  <c r="H53" i="192"/>
  <c r="H79" i="192"/>
  <c r="E59" i="192"/>
  <c r="C70" i="192"/>
  <c r="E53" i="192"/>
  <c r="H76" i="192"/>
  <c r="H85" i="192"/>
  <c r="E66" i="192"/>
  <c r="C48" i="192"/>
  <c r="C28" i="192"/>
  <c r="G80" i="192"/>
  <c r="E63" i="192"/>
  <c r="E57" i="192"/>
  <c r="G77" i="192"/>
  <c r="H59" i="192"/>
  <c r="N17" i="196" l="1"/>
  <c r="E29" i="192"/>
  <c r="C29" i="192"/>
  <c r="D29" i="192"/>
  <c r="M20" i="192"/>
  <c r="L20" i="192"/>
  <c r="A99" i="192"/>
  <c r="A100" i="192"/>
  <c r="A101" i="192"/>
  <c r="A102" i="192"/>
  <c r="A103" i="192"/>
  <c r="A104" i="192"/>
  <c r="A97" i="192"/>
  <c r="A98" i="192"/>
  <c r="A105" i="192"/>
  <c r="N26" i="196"/>
  <c r="P26" i="196" s="1"/>
  <c r="R26" i="196" s="1"/>
  <c r="E30" i="192"/>
  <c r="E31" i="192"/>
  <c r="C30" i="192"/>
  <c r="D30" i="192"/>
  <c r="D11" i="192"/>
  <c r="D31" i="192"/>
  <c r="C31" i="192"/>
  <c r="B103" i="192" l="1"/>
  <c r="A112" i="192"/>
  <c r="B102" i="192"/>
  <c r="A111" i="192"/>
  <c r="B101" i="192"/>
  <c r="A110" i="192"/>
  <c r="B100" i="192"/>
  <c r="A109" i="192"/>
  <c r="B97" i="192"/>
  <c r="A106" i="192"/>
  <c r="B105" i="192"/>
  <c r="A114" i="192"/>
  <c r="B99" i="192"/>
  <c r="A108" i="192"/>
  <c r="B98" i="192"/>
  <c r="A107" i="192"/>
  <c r="B104" i="192"/>
  <c r="A113" i="192"/>
  <c r="H97" i="192"/>
  <c r="E97" i="192"/>
  <c r="G98" i="192"/>
  <c r="C104" i="192"/>
  <c r="F104" i="192"/>
  <c r="F102" i="192"/>
  <c r="D99" i="192"/>
  <c r="G100" i="192"/>
  <c r="C102" i="192"/>
  <c r="G103" i="192"/>
  <c r="E99" i="192"/>
  <c r="D98" i="192"/>
  <c r="D103" i="192"/>
  <c r="H102" i="192"/>
  <c r="E105" i="192"/>
  <c r="D101" i="192"/>
  <c r="C99" i="192"/>
  <c r="F101" i="192"/>
  <c r="C100" i="192"/>
  <c r="H103" i="192"/>
  <c r="C105" i="192"/>
  <c r="H99" i="192"/>
  <c r="C101" i="192"/>
  <c r="D102" i="192"/>
  <c r="F103" i="192"/>
  <c r="F97" i="192"/>
  <c r="G97" i="192"/>
  <c r="G101" i="192"/>
  <c r="E104" i="192"/>
  <c r="E100" i="192"/>
  <c r="E103" i="192"/>
  <c r="F98" i="192"/>
  <c r="G102" i="192"/>
  <c r="F99" i="192"/>
  <c r="H98" i="192"/>
  <c r="D104" i="192"/>
  <c r="G105" i="192"/>
  <c r="H104" i="192"/>
  <c r="D100" i="192"/>
  <c r="C98" i="192"/>
  <c r="F100" i="192"/>
  <c r="F105" i="192"/>
  <c r="E102" i="192"/>
  <c r="D105" i="192"/>
  <c r="H101" i="192"/>
  <c r="H105" i="192"/>
  <c r="D97" i="192"/>
  <c r="E98" i="192"/>
  <c r="C97" i="192"/>
  <c r="C103" i="192"/>
  <c r="H100" i="192"/>
  <c r="G99" i="192"/>
  <c r="G104" i="192"/>
  <c r="E101" i="192"/>
  <c r="B112" i="192" l="1"/>
  <c r="A121" i="192"/>
  <c r="B107" i="192"/>
  <c r="A116" i="192"/>
  <c r="B113" i="192"/>
  <c r="A122" i="192"/>
  <c r="B106" i="192"/>
  <c r="A115" i="192"/>
  <c r="B109" i="192"/>
  <c r="A118" i="192"/>
  <c r="B108" i="192"/>
  <c r="A117" i="192"/>
  <c r="B110" i="192"/>
  <c r="A119" i="192"/>
  <c r="B114" i="192"/>
  <c r="A123" i="192"/>
  <c r="B111" i="192"/>
  <c r="A120" i="192"/>
  <c r="D114" i="192"/>
  <c r="G108" i="192"/>
  <c r="E114" i="192"/>
  <c r="D107" i="192"/>
  <c r="D113" i="192"/>
  <c r="H108" i="192"/>
  <c r="E107" i="192"/>
  <c r="H111" i="192"/>
  <c r="D108" i="192"/>
  <c r="F113" i="192"/>
  <c r="E109" i="192"/>
  <c r="G113" i="192"/>
  <c r="E106" i="192"/>
  <c r="F107" i="192"/>
  <c r="C108" i="192"/>
  <c r="D112" i="192"/>
  <c r="F108" i="192"/>
  <c r="H106" i="192"/>
  <c r="F106" i="192"/>
  <c r="E111" i="192"/>
  <c r="F110" i="192"/>
  <c r="C112" i="192"/>
  <c r="G106" i="192"/>
  <c r="C114" i="192"/>
  <c r="G112" i="192"/>
  <c r="L20" i="194"/>
  <c r="C107" i="192"/>
  <c r="H110" i="192"/>
  <c r="H109" i="192"/>
  <c r="H114" i="192"/>
  <c r="E110" i="192"/>
  <c r="H112" i="192"/>
  <c r="H113" i="192"/>
  <c r="F109" i="192"/>
  <c r="F111" i="192"/>
  <c r="G109" i="192"/>
  <c r="C106" i="192"/>
  <c r="C113" i="192"/>
  <c r="D110" i="192"/>
  <c r="G111" i="192"/>
  <c r="E113" i="192"/>
  <c r="D106" i="192"/>
  <c r="C111" i="192"/>
  <c r="E108" i="192"/>
  <c r="D111" i="192"/>
  <c r="C110" i="192"/>
  <c r="F114" i="192"/>
  <c r="D109" i="192"/>
  <c r="E112" i="192"/>
  <c r="G110" i="192"/>
  <c r="G107" i="192"/>
  <c r="C109" i="192"/>
  <c r="H107" i="192"/>
  <c r="G114" i="192"/>
  <c r="F112" i="192"/>
  <c r="B123" i="192" l="1"/>
  <c r="A132" i="192"/>
  <c r="B115" i="192"/>
  <c r="A124" i="192"/>
  <c r="B119" i="192"/>
  <c r="A128" i="192"/>
  <c r="B117" i="192"/>
  <c r="A126" i="192"/>
  <c r="B121" i="192"/>
  <c r="A130" i="192"/>
  <c r="B122" i="192"/>
  <c r="A131" i="192"/>
  <c r="B116" i="192"/>
  <c r="A125" i="192"/>
  <c r="B120" i="192"/>
  <c r="A129" i="192"/>
  <c r="B118" i="192"/>
  <c r="A127" i="192"/>
  <c r="D121" i="192"/>
  <c r="E118" i="192"/>
  <c r="D122" i="192"/>
  <c r="D115" i="192"/>
  <c r="F122" i="192"/>
  <c r="G118" i="192"/>
  <c r="D120" i="192"/>
  <c r="D118" i="192"/>
  <c r="C122" i="192"/>
  <c r="E119" i="192"/>
  <c r="E122" i="192"/>
  <c r="G119" i="192"/>
  <c r="F115" i="192"/>
  <c r="E121" i="192"/>
  <c r="H123" i="192"/>
  <c r="C121" i="192"/>
  <c r="C115" i="192"/>
  <c r="D119" i="192"/>
  <c r="H120" i="192"/>
  <c r="F119" i="192"/>
  <c r="F116" i="192"/>
  <c r="G122" i="192"/>
  <c r="C119" i="192"/>
  <c r="G117" i="192"/>
  <c r="E116" i="192"/>
  <c r="C120" i="192"/>
  <c r="D123" i="192"/>
  <c r="E117" i="192"/>
  <c r="C116" i="192"/>
  <c r="E115" i="192"/>
  <c r="C118" i="192"/>
  <c r="G120" i="192"/>
  <c r="C117" i="192"/>
  <c r="F123" i="192"/>
  <c r="G121" i="192"/>
  <c r="H115" i="192"/>
  <c r="F120" i="192"/>
  <c r="F117" i="192"/>
  <c r="G115" i="192"/>
  <c r="H117" i="192"/>
  <c r="H118" i="192"/>
  <c r="G116" i="192"/>
  <c r="G123" i="192"/>
  <c r="D117" i="192"/>
  <c r="F121" i="192"/>
  <c r="J20" i="194"/>
  <c r="F118" i="192"/>
  <c r="C123" i="192"/>
  <c r="H119" i="192"/>
  <c r="D116" i="192"/>
  <c r="E123" i="192"/>
  <c r="H116" i="192"/>
  <c r="H122" i="192"/>
  <c r="E120" i="192"/>
  <c r="H121" i="192"/>
  <c r="B128" i="192" l="1"/>
  <c r="A137" i="192"/>
  <c r="B131" i="192"/>
  <c r="A140" i="192"/>
  <c r="B129" i="192"/>
  <c r="A138" i="192"/>
  <c r="B126" i="192"/>
  <c r="A135" i="192"/>
  <c r="B125" i="192"/>
  <c r="A134" i="192"/>
  <c r="B124" i="192"/>
  <c r="A133" i="192"/>
  <c r="B127" i="192"/>
  <c r="A136" i="192"/>
  <c r="B130" i="192"/>
  <c r="A139" i="192"/>
  <c r="B132" i="192"/>
  <c r="A141" i="192"/>
  <c r="C131" i="192"/>
  <c r="D132" i="192"/>
  <c r="E124" i="192"/>
  <c r="F128" i="192"/>
  <c r="E132" i="192"/>
  <c r="H128" i="192"/>
  <c r="H131" i="192"/>
  <c r="E125" i="192"/>
  <c r="F132" i="192"/>
  <c r="H127" i="192"/>
  <c r="C126" i="192"/>
  <c r="C127" i="192"/>
  <c r="F131" i="192"/>
  <c r="F126" i="192"/>
  <c r="G126" i="192"/>
  <c r="C128" i="192"/>
  <c r="F130" i="192"/>
  <c r="E129" i="192"/>
  <c r="G124" i="192"/>
  <c r="F129" i="192"/>
  <c r="C129" i="192"/>
  <c r="H130" i="192"/>
  <c r="E131" i="192"/>
  <c r="C130" i="192"/>
  <c r="E127" i="192"/>
  <c r="C124" i="192"/>
  <c r="H125" i="192"/>
  <c r="D128" i="192"/>
  <c r="G130" i="192"/>
  <c r="F124" i="192"/>
  <c r="G129" i="192"/>
  <c r="H124" i="192"/>
  <c r="G125" i="192"/>
  <c r="C125" i="192"/>
  <c r="D131" i="192"/>
  <c r="H129" i="192"/>
  <c r="H132" i="192"/>
  <c r="D129" i="192"/>
  <c r="E126" i="192"/>
  <c r="F125" i="192"/>
  <c r="D126" i="192"/>
  <c r="D125" i="192"/>
  <c r="C132" i="192"/>
  <c r="H126" i="192"/>
  <c r="G132" i="192"/>
  <c r="D127" i="192"/>
  <c r="D124" i="192"/>
  <c r="E130" i="192"/>
  <c r="G131" i="192"/>
  <c r="G128" i="192"/>
  <c r="D130" i="192"/>
  <c r="F127" i="192"/>
  <c r="E128" i="192"/>
  <c r="G127" i="192"/>
  <c r="B135" i="192" l="1"/>
  <c r="A144" i="192"/>
  <c r="B140" i="192"/>
  <c r="A149" i="192"/>
  <c r="B136" i="192"/>
  <c r="A145" i="192"/>
  <c r="B139" i="192"/>
  <c r="A148" i="192"/>
  <c r="B133" i="192"/>
  <c r="A142" i="192"/>
  <c r="B141" i="192"/>
  <c r="A150" i="192"/>
  <c r="B134" i="192"/>
  <c r="A143" i="192"/>
  <c r="B137" i="192"/>
  <c r="A146" i="192"/>
  <c r="B138" i="192"/>
  <c r="A147" i="192"/>
  <c r="D141" i="192"/>
  <c r="D137" i="192"/>
  <c r="E137" i="192"/>
  <c r="H141" i="192"/>
  <c r="C134" i="192"/>
  <c r="C133" i="192"/>
  <c r="D133" i="192"/>
  <c r="G141" i="192"/>
  <c r="H135" i="192"/>
  <c r="D135" i="192"/>
  <c r="E135" i="192"/>
  <c r="F141" i="192"/>
  <c r="F140" i="192"/>
  <c r="H138" i="192"/>
  <c r="D134" i="192"/>
  <c r="C141" i="192"/>
  <c r="D140" i="192"/>
  <c r="H134" i="192"/>
  <c r="F135" i="192"/>
  <c r="C139" i="192"/>
  <c r="C138" i="192"/>
  <c r="D136" i="192"/>
  <c r="E136" i="192"/>
  <c r="G139" i="192"/>
  <c r="H136" i="192"/>
  <c r="D139" i="192"/>
  <c r="G134" i="192"/>
  <c r="F138" i="192"/>
  <c r="C136" i="192"/>
  <c r="H140" i="192"/>
  <c r="C137" i="192"/>
  <c r="E141" i="192"/>
  <c r="F134" i="192"/>
  <c r="E133" i="192"/>
  <c r="G137" i="192"/>
  <c r="E140" i="192"/>
  <c r="G133" i="192"/>
  <c r="E138" i="192"/>
  <c r="F133" i="192"/>
  <c r="G136" i="192"/>
  <c r="C140" i="192"/>
  <c r="H133" i="192"/>
  <c r="G140" i="192"/>
  <c r="F137" i="192"/>
  <c r="F139" i="192"/>
  <c r="E139" i="192"/>
  <c r="H137" i="192"/>
  <c r="H139" i="192"/>
  <c r="D138" i="192"/>
  <c r="E134" i="192"/>
  <c r="G138" i="192"/>
  <c r="G135" i="192"/>
  <c r="C135" i="192"/>
  <c r="F136" i="192"/>
  <c r="B148" i="192" l="1"/>
  <c r="A157" i="192"/>
  <c r="B143" i="192"/>
  <c r="A152" i="192"/>
  <c r="B145" i="192"/>
  <c r="A154" i="192"/>
  <c r="B146" i="192"/>
  <c r="A155" i="192"/>
  <c r="B149" i="192"/>
  <c r="A158" i="192"/>
  <c r="B150" i="192"/>
  <c r="A159" i="192"/>
  <c r="B147" i="192"/>
  <c r="A156" i="192"/>
  <c r="B142" i="192"/>
  <c r="A151" i="192"/>
  <c r="B144" i="192"/>
  <c r="A153" i="192"/>
  <c r="H150" i="192"/>
  <c r="G150" i="192"/>
  <c r="H144" i="192"/>
  <c r="H142" i="192"/>
  <c r="H148" i="192"/>
  <c r="G149" i="192"/>
  <c r="E144" i="192"/>
  <c r="F145" i="192"/>
  <c r="H146" i="192"/>
  <c r="F144" i="192"/>
  <c r="E149" i="192"/>
  <c r="F149" i="192"/>
  <c r="D143" i="192"/>
  <c r="D146" i="192"/>
  <c r="D145" i="192"/>
  <c r="C143" i="192"/>
  <c r="F143" i="192"/>
  <c r="G143" i="192"/>
  <c r="C149" i="192"/>
  <c r="F148" i="192"/>
  <c r="E146" i="192"/>
  <c r="C144" i="192"/>
  <c r="E143" i="192"/>
  <c r="C145" i="192"/>
  <c r="C150" i="192"/>
  <c r="F147" i="192"/>
  <c r="H149" i="192"/>
  <c r="C147" i="192"/>
  <c r="F142" i="192"/>
  <c r="E150" i="192"/>
  <c r="F150" i="192"/>
  <c r="C142" i="192"/>
  <c r="G147" i="192"/>
  <c r="D149" i="192"/>
  <c r="D142" i="192"/>
  <c r="C148" i="192"/>
  <c r="G145" i="192"/>
  <c r="H145" i="192"/>
  <c r="E147" i="192"/>
  <c r="D144" i="192"/>
  <c r="H143" i="192"/>
  <c r="E142" i="192"/>
  <c r="F146" i="192"/>
  <c r="D147" i="192"/>
  <c r="G144" i="192"/>
  <c r="G148" i="192"/>
  <c r="C146" i="192"/>
  <c r="D150" i="192"/>
  <c r="G142" i="192"/>
  <c r="D148" i="192"/>
  <c r="G146" i="192"/>
  <c r="E145" i="192"/>
  <c r="E148" i="192"/>
  <c r="H147" i="192"/>
  <c r="B153" i="192" l="1"/>
  <c r="A162" i="192"/>
  <c r="B151" i="192"/>
  <c r="A160" i="192"/>
  <c r="B155" i="192"/>
  <c r="A164" i="192"/>
  <c r="B157" i="192"/>
  <c r="A166" i="192"/>
  <c r="B156" i="192"/>
  <c r="A165" i="192"/>
  <c r="B154" i="192"/>
  <c r="A163" i="192"/>
  <c r="B152" i="192"/>
  <c r="A161" i="192"/>
  <c r="B158" i="192"/>
  <c r="A167" i="192"/>
  <c r="B159" i="192"/>
  <c r="A168" i="192"/>
  <c r="C151" i="192"/>
  <c r="G156" i="192"/>
  <c r="F152" i="192"/>
  <c r="H156" i="192"/>
  <c r="H155" i="192"/>
  <c r="C158" i="192"/>
  <c r="C159" i="192"/>
  <c r="D159" i="192"/>
  <c r="E154" i="192"/>
  <c r="H159" i="192"/>
  <c r="D151" i="192"/>
  <c r="G158" i="192"/>
  <c r="E158" i="192"/>
  <c r="H152" i="192"/>
  <c r="C157" i="192"/>
  <c r="F159" i="192"/>
  <c r="F153" i="192"/>
  <c r="F156" i="192"/>
  <c r="D156" i="192"/>
  <c r="H153" i="192"/>
  <c r="G152" i="192"/>
  <c r="H158" i="192"/>
  <c r="D158" i="192"/>
  <c r="H151" i="192"/>
  <c r="C152" i="192"/>
  <c r="E151" i="192"/>
  <c r="E153" i="192"/>
  <c r="D155" i="192"/>
  <c r="F155" i="192"/>
  <c r="G151" i="192"/>
  <c r="H157" i="192"/>
  <c r="G159" i="192"/>
  <c r="F158" i="192"/>
  <c r="E155" i="192"/>
  <c r="F151" i="192"/>
  <c r="D157" i="192"/>
  <c r="C154" i="192"/>
  <c r="D153" i="192"/>
  <c r="D154" i="192"/>
  <c r="E159" i="192"/>
  <c r="C156" i="192"/>
  <c r="G157" i="192"/>
  <c r="H154" i="192"/>
  <c r="E156" i="192"/>
  <c r="E157" i="192"/>
  <c r="F154" i="192"/>
  <c r="F157" i="192"/>
  <c r="C153" i="192"/>
  <c r="E152" i="192"/>
  <c r="D152" i="192"/>
  <c r="G154" i="192"/>
  <c r="G153" i="192"/>
  <c r="C155" i="192"/>
  <c r="G155" i="192"/>
  <c r="B167" i="192" l="1"/>
  <c r="A176" i="192"/>
  <c r="B176" i="192" s="1"/>
  <c r="B161" i="192"/>
  <c r="A170" i="192"/>
  <c r="B170" i="192" s="1"/>
  <c r="B166" i="192"/>
  <c r="A175" i="192"/>
  <c r="B175" i="192" s="1"/>
  <c r="B164" i="192"/>
  <c r="A173" i="192"/>
  <c r="B173" i="192" s="1"/>
  <c r="B163" i="192"/>
  <c r="A172" i="192"/>
  <c r="B172" i="192" s="1"/>
  <c r="B160" i="192"/>
  <c r="A169" i="192"/>
  <c r="B169" i="192" s="1"/>
  <c r="B162" i="192"/>
  <c r="A171" i="192"/>
  <c r="B171" i="192" s="1"/>
  <c r="B168" i="192"/>
  <c r="A177" i="192"/>
  <c r="B177" i="192" s="1"/>
  <c r="B165" i="192"/>
  <c r="A174" i="192"/>
  <c r="B174" i="192" s="1"/>
  <c r="D171" i="192"/>
  <c r="E177" i="192"/>
  <c r="C171" i="192"/>
  <c r="F174" i="192"/>
  <c r="E160" i="192"/>
  <c r="G162" i="192"/>
  <c r="H162" i="192"/>
  <c r="H163" i="192"/>
  <c r="G164" i="192"/>
  <c r="C177" i="192"/>
  <c r="C173" i="192"/>
  <c r="D163" i="192"/>
  <c r="H165" i="192"/>
  <c r="E170" i="192"/>
  <c r="G160" i="192"/>
  <c r="H167" i="192"/>
  <c r="H176" i="192"/>
  <c r="H160" i="192"/>
  <c r="F173" i="192"/>
  <c r="F165" i="192"/>
  <c r="H169" i="192"/>
  <c r="E171" i="192"/>
  <c r="F164" i="192"/>
  <c r="C175" i="192"/>
  <c r="E162" i="192"/>
  <c r="D170" i="192"/>
  <c r="G165" i="192"/>
  <c r="F170" i="192"/>
  <c r="G175" i="192"/>
  <c r="F176" i="192"/>
  <c r="D177" i="192"/>
  <c r="D168" i="192"/>
  <c r="H166" i="192"/>
  <c r="E172" i="192"/>
  <c r="F161" i="192"/>
  <c r="D164" i="192"/>
  <c r="C160" i="192"/>
  <c r="D175" i="192"/>
  <c r="E176" i="192"/>
  <c r="C163" i="192"/>
  <c r="C161" i="192"/>
  <c r="E163" i="192"/>
  <c r="E165" i="192"/>
  <c r="D172" i="192"/>
  <c r="G169" i="192"/>
  <c r="H170" i="192"/>
  <c r="C174" i="192"/>
  <c r="D174" i="192"/>
  <c r="E169" i="192"/>
  <c r="G163" i="192"/>
  <c r="C166" i="192"/>
  <c r="C167" i="192"/>
  <c r="C176" i="192"/>
  <c r="D162" i="192"/>
  <c r="E166" i="192"/>
  <c r="E164" i="192"/>
  <c r="F163" i="192"/>
  <c r="D176" i="192"/>
  <c r="E161" i="192"/>
  <c r="C164" i="192"/>
  <c r="D169" i="192"/>
  <c r="H177" i="192"/>
  <c r="G161" i="192"/>
  <c r="H172" i="192"/>
  <c r="C172" i="192"/>
  <c r="F171" i="192"/>
  <c r="F166" i="192"/>
  <c r="C168" i="192"/>
  <c r="D161" i="192"/>
  <c r="E168" i="192"/>
  <c r="E175" i="192"/>
  <c r="F168" i="192"/>
  <c r="C169" i="192"/>
  <c r="H175" i="192"/>
  <c r="H161" i="192"/>
  <c r="F177" i="192"/>
  <c r="D166" i="192"/>
  <c r="F167" i="192"/>
  <c r="H173" i="192"/>
  <c r="D165" i="192"/>
  <c r="C170" i="192"/>
  <c r="G172" i="192"/>
  <c r="F175" i="192"/>
  <c r="G170" i="192"/>
  <c r="E173" i="192"/>
  <c r="F162" i="192"/>
  <c r="D167" i="192"/>
  <c r="G173" i="192"/>
  <c r="D160" i="192"/>
  <c r="H168" i="192"/>
  <c r="H164" i="192"/>
  <c r="C162" i="192"/>
  <c r="H174" i="192"/>
  <c r="F169" i="192"/>
  <c r="D173" i="192"/>
  <c r="F160" i="192"/>
  <c r="G177" i="192"/>
  <c r="G176" i="192"/>
  <c r="G168" i="192"/>
  <c r="E167" i="192"/>
  <c r="G171" i="192"/>
  <c r="G166" i="192"/>
  <c r="G167" i="192"/>
  <c r="G174" i="192"/>
  <c r="E174" i="192"/>
  <c r="F172" i="192"/>
  <c r="C165" i="192"/>
  <c r="H171" i="192"/>
  <c r="F19" i="190" l="1"/>
  <c r="F18" i="190"/>
  <c r="F17" i="190"/>
  <c r="F16" i="190"/>
  <c r="B2" i="190"/>
  <c r="B2" i="187"/>
  <c r="C19" i="186"/>
  <c r="B2" i="186"/>
  <c r="I34" i="187"/>
  <c r="K27" i="187"/>
  <c r="F33" i="187"/>
  <c r="M22" i="187"/>
  <c r="M26" i="187"/>
  <c r="F34" i="187"/>
  <c r="M21" i="187"/>
  <c r="F35" i="187"/>
  <c r="G16" i="187"/>
  <c r="F16" i="187"/>
  <c r="G20" i="187"/>
  <c r="K25" i="187"/>
  <c r="D28" i="187"/>
  <c r="I35" i="187"/>
  <c r="F28" i="187"/>
  <c r="M20" i="187"/>
  <c r="D27" i="187"/>
  <c r="D22" i="187"/>
  <c r="M23" i="187"/>
  <c r="J20" i="190"/>
  <c r="K22" i="187"/>
  <c r="M25" i="187"/>
  <c r="M27" i="187"/>
  <c r="F25" i="186"/>
  <c r="K28" i="187"/>
  <c r="K24" i="187"/>
  <c r="H34" i="187"/>
  <c r="M24" i="187"/>
  <c r="K20" i="187"/>
  <c r="K26" i="187"/>
  <c r="K23" i="187"/>
  <c r="H35" i="187"/>
  <c r="M28" i="187"/>
  <c r="F20" i="187"/>
  <c r="F24" i="186"/>
  <c r="K21" i="187"/>
  <c r="C19" i="183" l="1"/>
  <c r="B2" i="183"/>
  <c r="L20" i="190"/>
  <c r="F24" i="183"/>
  <c r="F25" i="183"/>
  <c r="H20" i="194" l="1"/>
  <c r="N20" i="190"/>
  <c r="P20" i="190"/>
  <c r="Q20" i="190" l="1"/>
</calcChain>
</file>

<file path=xl/sharedStrings.xml><?xml version="1.0" encoding="utf-8"?>
<sst xmlns="http://schemas.openxmlformats.org/spreadsheetml/2006/main" count="571" uniqueCount="353">
  <si>
    <t>MeV/u</t>
    <phoneticPr fontId="20"/>
  </si>
  <si>
    <t>Update Log</t>
    <phoneticPr fontId="20"/>
  </si>
  <si>
    <t>date</t>
    <phoneticPr fontId="20"/>
  </si>
  <si>
    <t>[MeV/u]</t>
    <phoneticPr fontId="20"/>
  </si>
  <si>
    <t>E</t>
    <phoneticPr fontId="20"/>
  </si>
  <si>
    <t>Version Update Log</t>
    <phoneticPr fontId="22"/>
  </si>
  <si>
    <t>青字</t>
    <rPh sb="0" eb="1">
      <t>アオ</t>
    </rPh>
    <rPh sb="1" eb="2">
      <t>ジ</t>
    </rPh>
    <phoneticPr fontId="20"/>
  </si>
  <si>
    <t>緑字</t>
    <rPh sb="0" eb="1">
      <t>ミドリ</t>
    </rPh>
    <rPh sb="1" eb="2">
      <t>ジ</t>
    </rPh>
    <phoneticPr fontId="20"/>
  </si>
  <si>
    <t>が、マクロ関数の計算結果です。</t>
    <rPh sb="5" eb="7">
      <t>カンスウ</t>
    </rPh>
    <rPh sb="8" eb="10">
      <t>ケイサン</t>
    </rPh>
    <rPh sb="10" eb="12">
      <t>ケッカ</t>
    </rPh>
    <phoneticPr fontId="20"/>
  </si>
  <si>
    <t>Si</t>
    <phoneticPr fontId="20"/>
  </si>
  <si>
    <t>Al</t>
    <phoneticPr fontId="20"/>
  </si>
  <si>
    <t>Air</t>
    <phoneticPr fontId="20"/>
  </si>
  <si>
    <t>Kapton</t>
    <phoneticPr fontId="20"/>
  </si>
  <si>
    <t>[mm]</t>
    <phoneticPr fontId="20"/>
  </si>
  <si>
    <t>E1</t>
    <phoneticPr fontId="20"/>
  </si>
  <si>
    <t>LET</t>
    <phoneticPr fontId="20"/>
  </si>
  <si>
    <t>E2</t>
    <phoneticPr fontId="20"/>
  </si>
  <si>
    <t>WSname</t>
    <phoneticPr fontId="20"/>
  </si>
  <si>
    <t xml:space="preserve"> 3.12</t>
    <phoneticPr fontId="20"/>
  </si>
  <si>
    <t>(名前定義)</t>
    <rPh sb="1" eb="3">
      <t>ナマエ</t>
    </rPh>
    <rPh sb="3" eb="5">
      <t>テイギ</t>
    </rPh>
    <phoneticPr fontId="19"/>
  </si>
  <si>
    <t>WBtitle</t>
    <phoneticPr fontId="19"/>
  </si>
  <si>
    <t>Params. &amp; Rev. Log</t>
  </si>
  <si>
    <t>head</t>
  </si>
  <si>
    <t>srim</t>
  </si>
  <si>
    <t>ビーム</t>
  </si>
  <si>
    <t>材質</t>
  </si>
  <si>
    <t>84Kr</t>
  </si>
  <si>
    <t>Al</t>
  </si>
  <si>
    <t>[ex01]</t>
  </si>
  <si>
    <t>srE2Rng() 使用例</t>
  </si>
  <si>
    <t>の部分に「値」を入力してください。</t>
  </si>
  <si>
    <t>紫字</t>
  </si>
  <si>
    <t>は、数式の結果です。</t>
  </si>
  <si>
    <t>E beam</t>
  </si>
  <si>
    <t>MeV/u</t>
  </si>
  <si>
    <t>Range</t>
  </si>
  <si>
    <t>μm</t>
  </si>
  <si>
    <t>--&gt;</t>
  </si>
  <si>
    <t>WS name</t>
  </si>
  <si>
    <t>E</t>
  </si>
  <si>
    <t>R = srE2Rng( WS, E )</t>
  </si>
  <si>
    <t>Q.</t>
  </si>
  <si>
    <t>照射ボードの手前に ビームコリメータ を置き</t>
  </si>
  <si>
    <t>照射チップの周辺にビームが当たらない様に工夫したい。</t>
  </si>
  <si>
    <t>コリメータの厚さは何μm 必要か？</t>
  </si>
  <si>
    <t>A.</t>
  </si>
  <si>
    <t>srE2Rng( ) 関数を使って　Range (最薄厚さ)を求める</t>
  </si>
  <si>
    <t>ビーム核種、コリメータ材質、及び</t>
  </si>
  <si>
    <t>ビームエネルギー　を指定して、</t>
  </si>
  <si>
    <t>[ex02]</t>
    <phoneticPr fontId="20"/>
  </si>
  <si>
    <t>srRng2E() 使用例</t>
    <phoneticPr fontId="20"/>
  </si>
  <si>
    <t>[ex01]</t>
    <phoneticPr fontId="20"/>
  </si>
  <si>
    <t>コリメータ選び</t>
    <rPh sb="5" eb="6">
      <t>エラ</t>
    </rPh>
    <phoneticPr fontId="20"/>
  </si>
  <si>
    <t>[ex02]</t>
    <phoneticPr fontId="20"/>
  </si>
  <si>
    <t>照射チップ表面に、不感層がある。</t>
    <rPh sb="5" eb="7">
      <t>ヒョウメン</t>
    </rPh>
    <rPh sb="9" eb="12">
      <t>フカンソウ</t>
    </rPh>
    <phoneticPr fontId="20"/>
  </si>
  <si>
    <t>感応層深さまでビームを到達させるには・・・</t>
    <rPh sb="0" eb="3">
      <t>カンノウソウ</t>
    </rPh>
    <rPh sb="3" eb="4">
      <t>フカ</t>
    </rPh>
    <rPh sb="11" eb="13">
      <t>トウタツ</t>
    </rPh>
    <phoneticPr fontId="20"/>
  </si>
  <si>
    <t>ビーム核種、照射チップ材質、及び</t>
    <rPh sb="6" eb="8">
      <t>ショウシャ</t>
    </rPh>
    <phoneticPr fontId="20"/>
  </si>
  <si>
    <t>不感層の厚さ　を指定して、</t>
    <rPh sb="0" eb="3">
      <t>フカンソウ</t>
    </rPh>
    <rPh sb="4" eb="5">
      <t>アツ</t>
    </rPh>
    <phoneticPr fontId="20"/>
  </si>
  <si>
    <t>srRng2E( ) 関数を使って　ビームエネルギー を求める</t>
    <phoneticPr fontId="20"/>
  </si>
  <si>
    <t>加速器に必要な最低ビームエネルギーは？</t>
    <rPh sb="0" eb="3">
      <t>カソクキ</t>
    </rPh>
    <rPh sb="4" eb="6">
      <t>ヒツヨウ</t>
    </rPh>
    <rPh sb="7" eb="9">
      <t>サイテイ</t>
    </rPh>
    <phoneticPr fontId="20"/>
  </si>
  <si>
    <t>Thk</t>
    <phoneticPr fontId="20"/>
  </si>
  <si>
    <t>Ebeam</t>
    <phoneticPr fontId="20"/>
  </si>
  <si>
    <t>E = srRng2E( WS, Thk )</t>
    <phoneticPr fontId="20"/>
  </si>
  <si>
    <t>①</t>
    <phoneticPr fontId="20"/>
  </si>
  <si>
    <t>②</t>
    <phoneticPr fontId="20"/>
  </si>
  <si>
    <t>③</t>
    <phoneticPr fontId="20"/>
  </si>
  <si>
    <t>④</t>
    <phoneticPr fontId="20"/>
  </si>
  <si>
    <t>⑤</t>
    <phoneticPr fontId="20"/>
  </si>
  <si>
    <t>⑥a,b</t>
    <phoneticPr fontId="20"/>
  </si>
  <si>
    <t>⑦</t>
    <phoneticPr fontId="20"/>
  </si>
  <si>
    <t xml:space="preserve">上図例のシート名は srim84Kr_Si = ( ビーム 84Kr ,  標的物質 Si ) 用のものです。
</t>
    <phoneticPr fontId="20"/>
  </si>
  <si>
    <t xml:space="preserve">ビーム と 標的物質 に 関連する情報
</t>
    <phoneticPr fontId="20"/>
  </si>
  <si>
    <t xml:space="preserve">ビーム の エネルギー: E  に対する・・・
</t>
    <rPh sb="17" eb="18">
      <t>タイ</t>
    </rPh>
    <phoneticPr fontId="20"/>
  </si>
  <si>
    <t>　　Range値 （飛程)</t>
    <rPh sb="7" eb="8">
      <t>チ</t>
    </rPh>
    <rPh sb="10" eb="12">
      <t>ヒテイ</t>
    </rPh>
    <phoneticPr fontId="20"/>
  </si>
  <si>
    <t>　　LET値 （ｄE/dX） electric, nuclear</t>
    <rPh sb="3" eb="4">
      <t>チ</t>
    </rPh>
    <phoneticPr fontId="20"/>
  </si>
  <si>
    <t>srE2Rng(), srRng2E()</t>
    <phoneticPr fontId="20"/>
  </si>
  <si>
    <t>　　Straggling 値 ビーム方向、垂直方向</t>
    <rPh sb="13" eb="14">
      <t>チ</t>
    </rPh>
    <rPh sb="18" eb="20">
      <t>ホウコウ</t>
    </rPh>
    <rPh sb="21" eb="23">
      <t>スイチョク</t>
    </rPh>
    <rPh sb="23" eb="25">
      <t>ホウコウ</t>
    </rPh>
    <phoneticPr fontId="20"/>
  </si>
  <si>
    <t>LET値表示 の 単位換算表</t>
    <rPh sb="3" eb="4">
      <t>チ</t>
    </rPh>
    <rPh sb="4" eb="6">
      <t>ヒョウジ</t>
    </rPh>
    <rPh sb="9" eb="11">
      <t>タンイ</t>
    </rPh>
    <rPh sb="11" eb="14">
      <t>カンザンヒョウ</t>
    </rPh>
    <phoneticPr fontId="20"/>
  </si>
  <si>
    <t>値の説明</t>
    <rPh sb="0" eb="1">
      <t>アタイ</t>
    </rPh>
    <rPh sb="2" eb="4">
      <t>セツメイ</t>
    </rPh>
    <phoneticPr fontId="20"/>
  </si>
  <si>
    <t>関連する SRIMfit関数名</t>
    <rPh sb="0" eb="2">
      <t>カンレン</t>
    </rPh>
    <rPh sb="12" eb="15">
      <t>カンスウメイ</t>
    </rPh>
    <phoneticPr fontId="20"/>
  </si>
  <si>
    <t>&lt;--</t>
    <phoneticPr fontId="20"/>
  </si>
  <si>
    <t>ビーム選び</t>
    <rPh sb="3" eb="4">
      <t>エラ</t>
    </rPh>
    <phoneticPr fontId="20"/>
  </si>
  <si>
    <t>試験に用いる重イオンビームで、</t>
    <rPh sb="0" eb="2">
      <t>シケン</t>
    </rPh>
    <rPh sb="3" eb="4">
      <t>モチ</t>
    </rPh>
    <rPh sb="6" eb="7">
      <t>ジュウ</t>
    </rPh>
    <phoneticPr fontId="20"/>
  </si>
  <si>
    <t>試験可能な LETの範囲は？</t>
    <rPh sb="0" eb="4">
      <t>シケンカノウ</t>
    </rPh>
    <rPh sb="10" eb="12">
      <t>ハンイ</t>
    </rPh>
    <phoneticPr fontId="20"/>
  </si>
  <si>
    <t>基本関数を使って LET値を表示する。</t>
    <rPh sb="0" eb="4">
      <t>キホンカンスウ</t>
    </rPh>
    <rPh sb="5" eb="6">
      <t>ツカ</t>
    </rPh>
    <rPh sb="12" eb="13">
      <t>チ</t>
    </rPh>
    <rPh sb="14" eb="16">
      <t>ヒョウジ</t>
    </rPh>
    <phoneticPr fontId="20"/>
  </si>
  <si>
    <t>srim84Kr_Si</t>
  </si>
  <si>
    <t>ビームA</t>
    <phoneticPr fontId="20"/>
  </si>
  <si>
    <t>ビームZ</t>
    <phoneticPr fontId="20"/>
  </si>
  <si>
    <t>標的名</t>
    <rPh sb="0" eb="2">
      <t>ヒョウテキ</t>
    </rPh>
    <rPh sb="2" eb="3">
      <t>メイ</t>
    </rPh>
    <phoneticPr fontId="20"/>
  </si>
  <si>
    <t>標的密度</t>
    <rPh sb="0" eb="2">
      <t>ヒョウテキ</t>
    </rPh>
    <rPh sb="2" eb="4">
      <t>ミツド</t>
    </rPh>
    <phoneticPr fontId="20"/>
  </si>
  <si>
    <t>ワークシート名 ( ビーム核種+照射材質) を指定して、</t>
    <rPh sb="6" eb="7">
      <t>メイ</t>
    </rPh>
    <rPh sb="16" eb="18">
      <t>ショウシャ</t>
    </rPh>
    <rPh sb="23" eb="25">
      <t>シテイ</t>
    </rPh>
    <phoneticPr fontId="20"/>
  </si>
  <si>
    <t>LET値の単位について</t>
    <rPh sb="3" eb="4">
      <t>チ</t>
    </rPh>
    <rPh sb="5" eb="7">
      <t>タンイ</t>
    </rPh>
    <phoneticPr fontId="20"/>
  </si>
  <si>
    <t>単位名</t>
    <rPh sb="0" eb="2">
      <t>タンイ</t>
    </rPh>
    <rPh sb="2" eb="3">
      <t>メイ</t>
    </rPh>
    <phoneticPr fontId="20"/>
  </si>
  <si>
    <t>LET値表示の単位指定</t>
    <rPh sb="3" eb="4">
      <t>チ</t>
    </rPh>
    <rPh sb="4" eb="6">
      <t>ヒョウジ</t>
    </rPh>
    <rPh sb="7" eb="9">
      <t>タンイ</t>
    </rPh>
    <rPh sb="9" eb="11">
      <t>シテイ</t>
    </rPh>
    <phoneticPr fontId="20"/>
  </si>
  <si>
    <t>nuclear</t>
    <phoneticPr fontId="20"/>
  </si>
  <si>
    <t>LET</t>
    <phoneticPr fontId="20"/>
  </si>
  <si>
    <t>Uid番号</t>
    <rPh sb="3" eb="5">
      <t>バンゴウ</t>
    </rPh>
    <phoneticPr fontId="20"/>
  </si>
  <si>
    <t>@</t>
    <phoneticPr fontId="20"/>
  </si>
  <si>
    <t>E @ maxLET</t>
    <phoneticPr fontId="20"/>
  </si>
  <si>
    <t>MeV/u</t>
    <phoneticPr fontId="20"/>
  </si>
  <si>
    <t>= srLETUNm( Uid )</t>
    <phoneticPr fontId="20"/>
  </si>
  <si>
    <t>= srInfoTrgName( WS ),</t>
    <phoneticPr fontId="20"/>
  </si>
  <si>
    <t>Uid</t>
    <phoneticPr fontId="20"/>
  </si>
  <si>
    <t>変換係数</t>
    <rPh sb="0" eb="2">
      <t>ヘンカン</t>
    </rPh>
    <rPh sb="2" eb="4">
      <t>ケイスウ</t>
    </rPh>
    <phoneticPr fontId="20"/>
  </si>
  <si>
    <t>加速器選び</t>
    <rPh sb="0" eb="3">
      <t>カソクキ</t>
    </rPh>
    <rPh sb="3" eb="4">
      <t>エラ</t>
    </rPh>
    <phoneticPr fontId="20"/>
  </si>
  <si>
    <r>
      <rPr>
        <b/>
        <sz val="11"/>
        <color rgb="FF009900"/>
        <rFont val="ＭＳ Ｐゴシック"/>
        <family val="3"/>
        <charset val="128"/>
        <scheme val="minor"/>
      </rPr>
      <t>srInfoIonZ(), srInfoTrgDens(),</t>
    </r>
    <r>
      <rPr>
        <b/>
        <sz val="11"/>
        <color theme="1"/>
        <rFont val="ＭＳ Ｐゴシック"/>
        <family val="3"/>
        <charset val="128"/>
        <scheme val="minor"/>
      </rPr>
      <t xml:space="preserve"> etc.</t>
    </r>
    <phoneticPr fontId="20"/>
  </si>
  <si>
    <r>
      <rPr>
        <b/>
        <sz val="11"/>
        <color rgb="FF009900"/>
        <rFont val="ＭＳ Ｐゴシック"/>
        <family val="3"/>
        <charset val="128"/>
        <scheme val="minor"/>
      </rPr>
      <t>srMinE(), srMaxE(),</t>
    </r>
    <r>
      <rPr>
        <b/>
        <sz val="11"/>
        <color theme="1"/>
        <rFont val="ＭＳ Ｐゴシック"/>
        <family val="3"/>
        <charset val="128"/>
        <scheme val="minor"/>
      </rPr>
      <t xml:space="preserve"> etc.</t>
    </r>
    <phoneticPr fontId="20"/>
  </si>
  <si>
    <r>
      <rPr>
        <b/>
        <sz val="11"/>
        <color rgb="FF009900"/>
        <rFont val="ＭＳ Ｐゴシック"/>
        <family val="3"/>
        <charset val="128"/>
        <scheme val="minor"/>
      </rPr>
      <t>srE2LETt(), srLETt2E(), srMaxLETt(),</t>
    </r>
    <r>
      <rPr>
        <b/>
        <sz val="11"/>
        <color theme="1"/>
        <rFont val="ＭＳ Ｐゴシック"/>
        <family val="3"/>
        <charset val="128"/>
        <scheme val="minor"/>
      </rPr>
      <t xml:space="preserve"> etc.</t>
    </r>
    <phoneticPr fontId="20"/>
  </si>
  <si>
    <r>
      <rPr>
        <b/>
        <sz val="11"/>
        <color rgb="FF009900"/>
        <rFont val="ＭＳ Ｐゴシック"/>
        <family val="3"/>
        <charset val="128"/>
        <scheme val="minor"/>
      </rPr>
      <t>srE2StLng(), srE2StLtr(), srStLng2E()</t>
    </r>
    <r>
      <rPr>
        <b/>
        <sz val="11"/>
        <color theme="1"/>
        <rFont val="ＭＳ Ｐゴシック"/>
        <family val="3"/>
        <charset val="128"/>
        <scheme val="minor"/>
      </rPr>
      <t>, etc.</t>
    </r>
    <phoneticPr fontId="20"/>
  </si>
  <si>
    <r>
      <rPr>
        <b/>
        <sz val="11"/>
        <color rgb="FF009900"/>
        <rFont val="ＭＳ Ｐゴシック"/>
        <family val="3"/>
        <charset val="128"/>
        <scheme val="minor"/>
      </rPr>
      <t>srLETUNm(), srLETCnvF(),</t>
    </r>
    <r>
      <rPr>
        <b/>
        <sz val="11"/>
        <color theme="1"/>
        <rFont val="ＭＳ Ｐゴシック"/>
        <family val="3"/>
        <charset val="128"/>
        <scheme val="minor"/>
      </rPr>
      <t xml:space="preserve"> etc.</t>
    </r>
    <phoneticPr fontId="20"/>
  </si>
  <si>
    <t>Bm</t>
    <phoneticPr fontId="20"/>
  </si>
  <si>
    <t>Trg</t>
    <phoneticPr fontId="20"/>
  </si>
  <si>
    <t>WS</t>
    <phoneticPr fontId="20"/>
  </si>
  <si>
    <t>WS name</t>
    <phoneticPr fontId="20"/>
  </si>
  <si>
    <t>WS =head &amp; Bm &amp; "_" &amp; Trg</t>
    <phoneticPr fontId="20"/>
  </si>
  <si>
    <t>head</t>
    <phoneticPr fontId="20"/>
  </si>
  <si>
    <t>不感層厚さ</t>
    <rPh sb="0" eb="3">
      <t>フカンソウ</t>
    </rPh>
    <rPh sb="3" eb="4">
      <t>アツ</t>
    </rPh>
    <phoneticPr fontId="20"/>
  </si>
  <si>
    <t>最大LET値 と その時のビームエネルギー</t>
    <rPh sb="0" eb="2">
      <t>サイダイ</t>
    </rPh>
    <rPh sb="5" eb="6">
      <t>チ</t>
    </rPh>
    <rPh sb="11" eb="12">
      <t>トキ</t>
    </rPh>
    <phoneticPr fontId="20"/>
  </si>
  <si>
    <t>ビームエネルギー　--&gt; LET値</t>
    <rPh sb="16" eb="17">
      <t>チ</t>
    </rPh>
    <phoneticPr fontId="20"/>
  </si>
  <si>
    <t>= srE2LETt( WS,E,Uid)</t>
    <phoneticPr fontId="20"/>
  </si>
  <si>
    <t>electric</t>
    <phoneticPr fontId="20"/>
  </si>
  <si>
    <t>= srE2LETe( WS,E,Uid)</t>
    <phoneticPr fontId="20"/>
  </si>
  <si>
    <t>= srE2LETn( WS,E,Uid)</t>
    <phoneticPr fontId="20"/>
  </si>
  <si>
    <t>=srMaxLETt( WS, Uid )</t>
    <phoneticPr fontId="20"/>
  </si>
  <si>
    <t>=srMaxLETt2E( WS )</t>
    <phoneticPr fontId="20"/>
  </si>
  <si>
    <r>
      <t>maxLET</t>
    </r>
    <r>
      <rPr>
        <b/>
        <sz val="9"/>
        <color rgb="FFFF0000"/>
        <rFont val="ＭＳ Ｐゴシック"/>
        <family val="3"/>
        <charset val="128"/>
      </rPr>
      <t>(total)</t>
    </r>
    <phoneticPr fontId="20"/>
  </si>
  <si>
    <r>
      <t xml:space="preserve">  LET値 </t>
    </r>
    <r>
      <rPr>
        <sz val="9"/>
        <color rgb="FFFF0000"/>
        <rFont val="ＭＳ Ｐゴシック"/>
        <family val="3"/>
        <charset val="128"/>
      </rPr>
      <t>(total)</t>
    </r>
    <rPh sb="5" eb="6">
      <t>チ</t>
    </rPh>
    <phoneticPr fontId="20"/>
  </si>
  <si>
    <t>LET electric は、</t>
    <phoneticPr fontId="20"/>
  </si>
  <si>
    <t>「電離作用」に寄与する成分です。</t>
  </si>
  <si>
    <t>LET nuclear は、</t>
    <phoneticPr fontId="20"/>
  </si>
  <si>
    <t>「標的核の反跳」に寄与する成分で、</t>
    <phoneticPr fontId="20"/>
  </si>
  <si>
    <t>ビーム停止寸前で大きくなります。</t>
  </si>
  <si>
    <t>= srInfoIonA( WS )</t>
    <phoneticPr fontId="20"/>
  </si>
  <si>
    <t xml:space="preserve">= srInfoIonZ( WS ) </t>
    <phoneticPr fontId="20"/>
  </si>
  <si>
    <t xml:space="preserve">= srInfoTrgDens( WS ) </t>
    <phoneticPr fontId="20"/>
  </si>
  <si>
    <t>&lt;- 核物理、半導体照射用</t>
    <rPh sb="3" eb="4">
      <t>カク</t>
    </rPh>
    <rPh sb="4" eb="6">
      <t>ブツリ</t>
    </rPh>
    <rPh sb="7" eb="10">
      <t>ハンドウタイ</t>
    </rPh>
    <phoneticPr fontId="20"/>
  </si>
  <si>
    <t>&lt;- 材料照射用</t>
    <rPh sb="3" eb="5">
      <t>ザイリョウ</t>
    </rPh>
    <rPh sb="5" eb="7">
      <t>ショウシャ</t>
    </rPh>
    <rPh sb="7" eb="8">
      <t>ヨウ</t>
    </rPh>
    <phoneticPr fontId="20"/>
  </si>
  <si>
    <t>&lt;- 生物照射用</t>
    <rPh sb="3" eb="5">
      <t>セイブツ</t>
    </rPh>
    <rPh sb="5" eb="7">
      <t>ショウシャ</t>
    </rPh>
    <rPh sb="7" eb="8">
      <t>ヨウ</t>
    </rPh>
    <phoneticPr fontId="20"/>
  </si>
  <si>
    <t>= srLETCnvF( WS,Uid )</t>
    <phoneticPr fontId="20"/>
  </si>
  <si>
    <t>[ex04]</t>
    <phoneticPr fontId="20"/>
  </si>
  <si>
    <t>srEnew() 使用例</t>
    <phoneticPr fontId="20"/>
  </si>
  <si>
    <t>物質通過”後”のエネルギー</t>
    <rPh sb="0" eb="2">
      <t>ブッシツ</t>
    </rPh>
    <rPh sb="2" eb="4">
      <t>ツウカ</t>
    </rPh>
    <rPh sb="5" eb="6">
      <t>ゴ</t>
    </rPh>
    <phoneticPr fontId="20"/>
  </si>
  <si>
    <t>Edeg板の厚さはいくらにすべきか？</t>
    <rPh sb="4" eb="5">
      <t>イタ</t>
    </rPh>
    <rPh sb="6" eb="7">
      <t>アツ</t>
    </rPh>
    <phoneticPr fontId="20"/>
  </si>
  <si>
    <t>Edeg板厚を "手動で" 変化させる。</t>
    <phoneticPr fontId="20"/>
  </si>
  <si>
    <t>気温</t>
    <rPh sb="0" eb="2">
      <t>キオン</t>
    </rPh>
    <phoneticPr fontId="20"/>
  </si>
  <si>
    <t>気圧</t>
    <rPh sb="0" eb="2">
      <t>キアツ</t>
    </rPh>
    <phoneticPr fontId="20"/>
  </si>
  <si>
    <t>[℃]</t>
    <phoneticPr fontId="20"/>
  </si>
  <si>
    <t>[hPa]</t>
    <phoneticPr fontId="20"/>
  </si>
  <si>
    <t>Tair</t>
    <phoneticPr fontId="20"/>
  </si>
  <si>
    <t>Pair</t>
    <phoneticPr fontId="20"/>
  </si>
  <si>
    <t>E真空中</t>
    <rPh sb="1" eb="3">
      <t>シンクウ</t>
    </rPh>
    <rPh sb="3" eb="4">
      <t>チュウ</t>
    </rPh>
    <phoneticPr fontId="20"/>
  </si>
  <si>
    <t>真空膜</t>
    <rPh sb="0" eb="3">
      <t>シンクウマク</t>
    </rPh>
    <phoneticPr fontId="20"/>
  </si>
  <si>
    <t>[µm]</t>
    <phoneticPr fontId="20"/>
  </si>
  <si>
    <t>通過後</t>
    <rPh sb="0" eb="3">
      <t>ツウカゴ</t>
    </rPh>
    <phoneticPr fontId="20"/>
  </si>
  <si>
    <t>Edeg板</t>
    <rPh sb="4" eb="5">
      <t>イタ</t>
    </rPh>
    <phoneticPr fontId="20"/>
  </si>
  <si>
    <t>空気層２</t>
    <rPh sb="0" eb="2">
      <t>クウキ</t>
    </rPh>
    <rPh sb="2" eb="3">
      <t>ソウ</t>
    </rPh>
    <phoneticPr fontId="20"/>
  </si>
  <si>
    <t>空気層1</t>
    <rPh sb="0" eb="2">
      <t>クウキ</t>
    </rPh>
    <rPh sb="2" eb="3">
      <t>ソウ</t>
    </rPh>
    <phoneticPr fontId="20"/>
  </si>
  <si>
    <t>=試料表面</t>
    <rPh sb="1" eb="3">
      <t>シリョウ</t>
    </rPh>
    <rPh sb="3" eb="5">
      <t>ヒョウメン</t>
    </rPh>
    <phoneticPr fontId="20"/>
  </si>
  <si>
    <t>空気中照射で、試料表面のLET値を調整したい</t>
    <rPh sb="0" eb="3">
      <t>クウキチュウ</t>
    </rPh>
    <rPh sb="3" eb="5">
      <t>ショウシャ</t>
    </rPh>
    <rPh sb="7" eb="9">
      <t>シリョウ</t>
    </rPh>
    <rPh sb="9" eb="11">
      <t>ヒョウメン</t>
    </rPh>
    <rPh sb="15" eb="16">
      <t>チ</t>
    </rPh>
    <rPh sb="17" eb="19">
      <t>チョウセイ</t>
    </rPh>
    <phoneticPr fontId="20"/>
  </si>
  <si>
    <t>= LET値</t>
    <rPh sb="5" eb="6">
      <t>チ</t>
    </rPh>
    <phoneticPr fontId="20"/>
  </si>
  <si>
    <t>Ebm</t>
    <phoneticPr fontId="20"/>
  </si>
  <si>
    <t>="srim" &amp; Bm &amp; "_" Trg</t>
    <phoneticPr fontId="20"/>
  </si>
  <si>
    <t>Tkap</t>
    <phoneticPr fontId="20"/>
  </si>
  <si>
    <t>Lair1</t>
    <phoneticPr fontId="20"/>
  </si>
  <si>
    <t>Lair2</t>
    <phoneticPr fontId="20"/>
  </si>
  <si>
    <t>Tal</t>
    <phoneticPr fontId="20"/>
  </si>
  <si>
    <t>E3</t>
    <phoneticPr fontId="20"/>
  </si>
  <si>
    <t>E4</t>
    <phoneticPr fontId="20"/>
  </si>
  <si>
    <t>膜</t>
    <rPh sb="0" eb="1">
      <t>マク</t>
    </rPh>
    <phoneticPr fontId="20"/>
  </si>
  <si>
    <t>空気</t>
    <rPh sb="0" eb="2">
      <t>クウキ</t>
    </rPh>
    <phoneticPr fontId="20"/>
  </si>
  <si>
    <t>Edeg</t>
    <phoneticPr fontId="20"/>
  </si>
  <si>
    <t>試料</t>
    <rPh sb="0" eb="2">
      <t>シリョウ</t>
    </rPh>
    <phoneticPr fontId="20"/>
  </si>
  <si>
    <t>E1= srEnew( WS膜, Ebm, Tkap )</t>
    <rPh sb="14" eb="15">
      <t>マク</t>
    </rPh>
    <phoneticPr fontId="20"/>
  </si>
  <si>
    <t>E2= srEnewGas( WS空気, E1, Lair1, Pair*100, Tair )</t>
    <rPh sb="17" eb="19">
      <t>クウキ</t>
    </rPh>
    <phoneticPr fontId="20"/>
  </si>
  <si>
    <t>E3= srEnew( WSEdeg, E2, Tal )</t>
    <phoneticPr fontId="20"/>
  </si>
  <si>
    <t>E4= srEnewGas( WS空気, E3, Lair2, Pair*100, Tair )</t>
    <rPh sb="17" eb="19">
      <t>クウキ</t>
    </rPh>
    <phoneticPr fontId="20"/>
  </si>
  <si>
    <t>LET= srE2LETt( WS試料, E4, Uid=0 )</t>
    <rPh sb="17" eb="19">
      <t>シリョウ</t>
    </rPh>
    <phoneticPr fontId="20"/>
  </si>
  <si>
    <t>[ex05]</t>
    <phoneticPr fontId="20"/>
  </si>
  <si>
    <t>srEold() 使用例</t>
    <phoneticPr fontId="20"/>
  </si>
  <si>
    <t>物質通過”前”のエネルギー</t>
    <rPh sb="0" eb="2">
      <t>ブッシツ</t>
    </rPh>
    <rPh sb="2" eb="4">
      <t>ツウカ</t>
    </rPh>
    <rPh sb="5" eb="6">
      <t>マエ</t>
    </rPh>
    <phoneticPr fontId="20"/>
  </si>
  <si>
    <t>⇒</t>
    <phoneticPr fontId="20"/>
  </si>
  <si>
    <t>試料表面</t>
    <rPh sb="0" eb="1">
      <t>シリョウ</t>
    </rPh>
    <rPh sb="1" eb="3">
      <t>ヒョウメン</t>
    </rPh>
    <phoneticPr fontId="20"/>
  </si>
  <si>
    <t>⇐</t>
    <phoneticPr fontId="20"/>
  </si>
  <si>
    <t>通過前</t>
    <rPh sb="0" eb="2">
      <t>ツウカ</t>
    </rPh>
    <rPh sb="2" eb="3">
      <t>マエ</t>
    </rPh>
    <phoneticPr fontId="20"/>
  </si>
  <si>
    <t>WS.name =</t>
    <phoneticPr fontId="22"/>
  </si>
  <si>
    <t>Corded</t>
    <phoneticPr fontId="20"/>
  </si>
  <si>
    <t>Gas?</t>
    <phoneticPr fontId="20"/>
  </si>
  <si>
    <t>== Target  Composition ==</t>
  </si>
  <si>
    <t>SRIM ver</t>
    <phoneticPr fontId="22"/>
  </si>
  <si>
    <t>Atom</t>
  </si>
  <si>
    <t>Atomic</t>
  </si>
  <si>
    <t>Mass</t>
  </si>
  <si>
    <t>Multiply Stopping by ; for Stopping Units</t>
    <phoneticPr fontId="22"/>
  </si>
  <si>
    <t>Ion Z</t>
    <phoneticPr fontId="22"/>
  </si>
  <si>
    <t>Name</t>
  </si>
  <si>
    <t>Numb</t>
  </si>
  <si>
    <t>[%]</t>
    <phoneticPr fontId="22"/>
  </si>
  <si>
    <t>Cnv. Factor</t>
    <phoneticPr fontId="22"/>
  </si>
  <si>
    <t>Ion A</t>
    <phoneticPr fontId="22"/>
  </si>
  <si>
    <t>Target</t>
    <phoneticPr fontId="22"/>
  </si>
  <si>
    <t>Tgt.Dens</t>
    <phoneticPr fontId="22"/>
  </si>
  <si>
    <t>g/cm3</t>
  </si>
  <si>
    <t>atoms/cm3</t>
  </si>
  <si>
    <t>Bragg.Crct.</t>
    <phoneticPr fontId="20"/>
  </si>
  <si>
    <t>Table Range</t>
    <phoneticPr fontId="20"/>
  </si>
  <si>
    <t>Min</t>
    <phoneticPr fontId="20"/>
  </si>
  <si>
    <t>Max</t>
    <phoneticPr fontId="20"/>
  </si>
  <si>
    <t>E [MeV/u]</t>
    <phoneticPr fontId="20"/>
  </si>
  <si>
    <t>sum</t>
    <phoneticPr fontId="20"/>
  </si>
  <si>
    <t xml:space="preserve"> == 5 : MeV/(mg/cm2)</t>
    <phoneticPr fontId="22"/>
  </si>
  <si>
    <t>Rng[μm]</t>
    <phoneticPr fontId="20"/>
  </si>
  <si>
    <t>Long.Strg[μm]</t>
    <phoneticPr fontId="20"/>
  </si>
  <si>
    <t>Late.Strg[μm]</t>
    <phoneticPr fontId="20"/>
  </si>
  <si>
    <t>dE/dX unitID</t>
    <phoneticPr fontId="22"/>
  </si>
  <si>
    <t>= 0,1 .. 8</t>
    <phoneticPr fontId="22"/>
  </si>
  <si>
    <t>dE/dx max</t>
    <phoneticPr fontId="22"/>
  </si>
  <si>
    <t>in unitID</t>
    <phoneticPr fontId="20"/>
  </si>
  <si>
    <t>at E =</t>
    <phoneticPr fontId="20"/>
  </si>
  <si>
    <t>Elow  side</t>
    <phoneticPr fontId="22"/>
  </si>
  <si>
    <t>Ehigh side</t>
    <phoneticPr fontId="22"/>
  </si>
  <si>
    <t>= Estep</t>
    <phoneticPr fontId="20"/>
  </si>
  <si>
    <t>dEdX Elec</t>
    <phoneticPr fontId="20"/>
  </si>
  <si>
    <t>dEdX Nucl</t>
    <phoneticPr fontId="20"/>
  </si>
  <si>
    <t>dEdX Tot</t>
    <phoneticPr fontId="20"/>
  </si>
  <si>
    <t>Range</t>
    <phoneticPr fontId="20"/>
  </si>
  <si>
    <t>Long.Strag</t>
    <phoneticPr fontId="20"/>
  </si>
  <si>
    <t>Late.Strag</t>
    <phoneticPr fontId="20"/>
  </si>
  <si>
    <t>[MeV/(mg/cm2)]</t>
    <phoneticPr fontId="20"/>
  </si>
  <si>
    <t>[μm]</t>
    <phoneticPr fontId="20"/>
  </si>
  <si>
    <r>
      <t xml:space="preserve">= Table Emin </t>
    </r>
    <r>
      <rPr>
        <b/>
        <sz val="10"/>
        <color theme="1"/>
        <rFont val="ＭＳ Ｐゴシック"/>
        <family val="3"/>
        <charset val="128"/>
        <scheme val="minor"/>
      </rPr>
      <t xml:space="preserve"> (Log-Log プロット) 全体表示用</t>
    </r>
    <rPh sb="29" eb="31">
      <t>ゼンタイ</t>
    </rPh>
    <rPh sb="31" eb="33">
      <t>ヒョウジ</t>
    </rPh>
    <rPh sb="33" eb="34">
      <t>ヨウ</t>
    </rPh>
    <phoneticPr fontId="20"/>
  </si>
  <si>
    <t>= Table Emax</t>
    <phoneticPr fontId="20"/>
  </si>
  <si>
    <t>基本関数 の 使用例(2)</t>
    <rPh sb="0" eb="4">
      <t>キホンカンスウ</t>
    </rPh>
    <phoneticPr fontId="20"/>
  </si>
  <si>
    <t>基本関数 の 使用例(1)</t>
    <rPh sb="0" eb="4">
      <t>キホンカンスウ</t>
    </rPh>
    <phoneticPr fontId="20"/>
  </si>
  <si>
    <t>MySRIMwb 内容表示</t>
    <rPh sb="9" eb="13">
      <t>ナイヨウヒョウジ</t>
    </rPh>
    <phoneticPr fontId="20"/>
  </si>
  <si>
    <t>に「値」を入力</t>
    <phoneticPr fontId="20"/>
  </si>
  <si>
    <t>数式の結果</t>
    <phoneticPr fontId="20"/>
  </si>
  <si>
    <t>マクロ関数の結果</t>
    <rPh sb="3" eb="5">
      <t>カンスウ</t>
    </rPh>
    <rPh sb="6" eb="8">
      <t>ケッカ</t>
    </rPh>
    <phoneticPr fontId="20"/>
  </si>
  <si>
    <t>ご自分の MySRIMwb.xlsx の確認用です</t>
    <rPh sb="1" eb="3">
      <t>ジブン</t>
    </rPh>
    <rPh sb="20" eb="22">
      <t>カクニン</t>
    </rPh>
    <rPh sb="22" eb="23">
      <t>ヨウ</t>
    </rPh>
    <phoneticPr fontId="20"/>
  </si>
  <si>
    <t>srim84Kr_Air</t>
    <phoneticPr fontId="22"/>
  </si>
  <si>
    <t>srInfoWScorded(WS)</t>
    <phoneticPr fontId="20"/>
  </si>
  <si>
    <t>srInfoVer(WS)</t>
    <phoneticPr fontId="20"/>
  </si>
  <si>
    <t>srInfoIonZ(WS), srElmNm(WS)</t>
    <phoneticPr fontId="20"/>
  </si>
  <si>
    <t>srInfoIonA(WS)</t>
    <phoneticPr fontId="20"/>
  </si>
  <si>
    <t>srInfoTrgName(WS)</t>
    <phoneticPr fontId="20"/>
  </si>
  <si>
    <t>srInfoTrgNameL(WS)</t>
    <phoneticPr fontId="20"/>
  </si>
  <si>
    <t>srInfoTrgDens(WS)</t>
    <phoneticPr fontId="20"/>
  </si>
  <si>
    <t>srInfoTrgDensA(WS)</t>
    <phoneticPr fontId="20"/>
  </si>
  <si>
    <t>srInfoBrgC(WS)</t>
    <phoneticPr fontId="20"/>
  </si>
  <si>
    <t>srMinE(WS), srMaxE(WS)</t>
    <phoneticPr fontId="20"/>
  </si>
  <si>
    <t>srMinRng(WS), srMaxE(WS)</t>
    <phoneticPr fontId="20"/>
  </si>
  <si>
    <t>srMinStLng(WS), srMaxStLng(WS)</t>
    <phoneticPr fontId="20"/>
  </si>
  <si>
    <t>srMinStLtr(WS), srMaxStLtr(WS)</t>
    <phoneticPr fontId="20"/>
  </si>
  <si>
    <t>LETtotal</t>
    <phoneticPr fontId="20"/>
  </si>
  <si>
    <t>LETelec</t>
    <phoneticPr fontId="20"/>
  </si>
  <si>
    <t>LETnucl</t>
    <phoneticPr fontId="20"/>
  </si>
  <si>
    <r>
      <rPr>
        <i/>
        <sz val="10"/>
        <color rgb="FF0070C0"/>
        <rFont val="ＭＳ Ｐゴシック"/>
        <family val="3"/>
        <charset val="128"/>
        <scheme val="minor"/>
      </rPr>
      <t>WS</t>
    </r>
    <r>
      <rPr>
        <b/>
        <i/>
        <sz val="10"/>
        <color theme="1" tint="0.34998626667073579"/>
        <rFont val="ＭＳ Ｐゴシック"/>
        <family val="3"/>
        <charset val="128"/>
        <scheme val="minor"/>
      </rPr>
      <t xml:space="preserve"> &lt;- MySRIMwb.xlsx ブック中の WorkSheet名を入力</t>
    </r>
    <rPh sb="23" eb="24">
      <t>チュウ</t>
    </rPh>
    <rPh sb="35" eb="36">
      <t>メイ</t>
    </rPh>
    <rPh sb="37" eb="39">
      <t>ニュウリョク</t>
    </rPh>
    <phoneticPr fontId="20"/>
  </si>
  <si>
    <t>srMaxLET{t,e,n}2E(WS)</t>
    <phoneticPr fontId="20"/>
  </si>
  <si>
    <t>srMaxLET{t,e,n)(WS,Uid)</t>
    <phoneticPr fontId="20"/>
  </si>
  <si>
    <t>srLET{t,e,n}2El(WS,LET%,Uid)</t>
    <phoneticPr fontId="20"/>
  </si>
  <si>
    <t>=LET% * MaxLET{t,e,n}</t>
    <phoneticPr fontId="20"/>
  </si>
  <si>
    <t>srLET{t,e,n}2Eh(WS,LET%,Uid)</t>
    <phoneticPr fontId="20"/>
  </si>
  <si>
    <t>srInfoTgCmAtmNm(WS,ix)</t>
    <phoneticPr fontId="20"/>
  </si>
  <si>
    <t>srInfoTgCmAtmNo(WS,ix)</t>
    <phoneticPr fontId="20"/>
  </si>
  <si>
    <t>ix</t>
    <phoneticPr fontId="20"/>
  </si>
  <si>
    <t>srInfoTgCmAtmPct(WS,ix)</t>
    <phoneticPr fontId="20"/>
  </si>
  <si>
    <t>srInfoTgCmMasPct(WS,ix)</t>
    <phoneticPr fontId="20"/>
  </si>
  <si>
    <t>srLETCnvF(WS,Uid)</t>
    <phoneticPr fontId="20"/>
  </si>
  <si>
    <t>srE2LETe(WS,E,0)</t>
    <phoneticPr fontId="20"/>
  </si>
  <si>
    <t>srE2LETn(WS,E,0)</t>
    <phoneticPr fontId="20"/>
  </si>
  <si>
    <t>srE2LETt(WS,E,0)</t>
    <phoneticPr fontId="20"/>
  </si>
  <si>
    <t>srE2Rng(WS,E)</t>
    <phoneticPr fontId="20"/>
  </si>
  <si>
    <t>srE2StLng(WS,E)</t>
    <phoneticPr fontId="20"/>
  </si>
  <si>
    <t>srE2StLtr(WS,E)</t>
    <phoneticPr fontId="20"/>
  </si>
  <si>
    <t>=IF(srInfoTgIsGas(WS),"Gas","")</t>
    <phoneticPr fontId="20"/>
  </si>
  <si>
    <t>= Emin [MeV/u] (Lin-Lin プロット) 確認用</t>
    <rPh sb="30" eb="33">
      <t>カクニンヨウ</t>
    </rPh>
    <phoneticPr fontId="20"/>
  </si>
  <si>
    <t>dEdXelec</t>
    <phoneticPr fontId="20"/>
  </si>
  <si>
    <t>dEdXnucl</t>
    <phoneticPr fontId="20"/>
  </si>
  <si>
    <t>dEdXtotal</t>
    <phoneticPr fontId="20"/>
  </si>
  <si>
    <t>srLETUNm(Uid)</t>
    <phoneticPr fontId="20"/>
  </si>
  <si>
    <t>[ex06]</t>
    <phoneticPr fontId="20"/>
  </si>
  <si>
    <t>試料表面にはモールド層がある。</t>
    <rPh sb="0" eb="2">
      <t>シリョウ</t>
    </rPh>
    <rPh sb="2" eb="4">
      <t>ヒョウメン</t>
    </rPh>
    <rPh sb="10" eb="11">
      <t>ソウ</t>
    </rPh>
    <phoneticPr fontId="20"/>
  </si>
  <si>
    <t>空気中照射で、試料表面のLET値を指定したい。</t>
    <rPh sb="0" eb="3">
      <t>クウキチュウ</t>
    </rPh>
    <rPh sb="3" eb="5">
      <t>ショウシャ</t>
    </rPh>
    <rPh sb="7" eb="9">
      <t>シリョウ</t>
    </rPh>
    <rPh sb="9" eb="11">
      <t>ヒョウメン</t>
    </rPh>
    <rPh sb="15" eb="16">
      <t>チ</t>
    </rPh>
    <rPh sb="17" eb="19">
      <t>シテイ</t>
    </rPh>
    <phoneticPr fontId="20"/>
  </si>
  <si>
    <t>srEold() を使い、目標のLET値から</t>
    <rPh sb="10" eb="11">
      <t>ツカ</t>
    </rPh>
    <rPh sb="13" eb="15">
      <t>モクヒョウ</t>
    </rPh>
    <rPh sb="19" eb="20">
      <t>チ</t>
    </rPh>
    <phoneticPr fontId="20"/>
  </si>
  <si>
    <t>”上流に遡って”、真空中のエネルギーを計算する。</t>
    <rPh sb="1" eb="3">
      <t>ジョウリュウ</t>
    </rPh>
    <rPh sb="4" eb="5">
      <t>サカノボ</t>
    </rPh>
    <rPh sb="9" eb="12">
      <t>シンクウチュウ</t>
    </rPh>
    <rPh sb="19" eb="21">
      <t>ケイサン</t>
    </rPh>
    <phoneticPr fontId="20"/>
  </si>
  <si>
    <t>Mold1</t>
    <phoneticPr fontId="20"/>
  </si>
  <si>
    <t>Mold2</t>
    <phoneticPr fontId="20"/>
  </si>
  <si>
    <t>Mold3</t>
    <phoneticPr fontId="20"/>
  </si>
  <si>
    <t>SiO2</t>
    <phoneticPr fontId="20"/>
  </si>
  <si>
    <t>Epoxy</t>
    <phoneticPr fontId="20"/>
  </si>
  <si>
    <t>Cu</t>
    <phoneticPr fontId="20"/>
  </si>
  <si>
    <t>目標のLET値になるように</t>
    <phoneticPr fontId="20"/>
  </si>
  <si>
    <t>srEnew() を使い、下流方向に順次Eを計算。</t>
    <rPh sb="10" eb="11">
      <t>ツカ</t>
    </rPh>
    <rPh sb="13" eb="15">
      <t>カリュウ</t>
    </rPh>
    <rPh sb="15" eb="17">
      <t>ホウコウ</t>
    </rPh>
    <rPh sb="18" eb="20">
      <t>ジュンジ</t>
    </rPh>
    <rPh sb="22" eb="24">
      <t>ケイサン</t>
    </rPh>
    <phoneticPr fontId="20"/>
  </si>
  <si>
    <t>SRIMfit 入門：　半導体照射試験用</t>
    <rPh sb="8" eb="10">
      <t>ニュウモン</t>
    </rPh>
    <phoneticPr fontId="20"/>
  </si>
  <si>
    <t>LET指定</t>
    <rPh sb="3" eb="5">
      <t>シテイ</t>
    </rPh>
    <phoneticPr fontId="20"/>
  </si>
  <si>
    <t>Tm1</t>
    <phoneticPr fontId="20"/>
  </si>
  <si>
    <t>Tm2</t>
    <phoneticPr fontId="20"/>
  </si>
  <si>
    <t>Tm3</t>
    <phoneticPr fontId="20"/>
  </si>
  <si>
    <t>maxLET</t>
    <phoneticPr fontId="20"/>
  </si>
  <si>
    <t>E5</t>
    <phoneticPr fontId="20"/>
  </si>
  <si>
    <t>E6</t>
    <phoneticPr fontId="20"/>
  </si>
  <si>
    <t>通過前</t>
  </si>
  <si>
    <t>＝</t>
    <phoneticPr fontId="20"/>
  </si>
  <si>
    <t>maxLET= srMaxLETt(WS試料,0)</t>
    <rPh sb="20" eb="22">
      <t>シリョウ</t>
    </rPh>
    <phoneticPr fontId="20"/>
  </si>
  <si>
    <t>E1= srLETt2E( WS試料, LET, 0, 1)</t>
    <rPh sb="16" eb="18">
      <t>シリョウ</t>
    </rPh>
    <phoneticPr fontId="20"/>
  </si>
  <si>
    <t>E2= srEold( WSMold3, E1, Tm3 )</t>
    <phoneticPr fontId="20"/>
  </si>
  <si>
    <t>E3= srEold( WSMold2, E2, Tm2 )</t>
    <phoneticPr fontId="20"/>
  </si>
  <si>
    <t>E4= srEold( WSMold1, E3, Tm1 )</t>
    <phoneticPr fontId="20"/>
  </si>
  <si>
    <t>E5= srEoldGas( WS空気, E4, Lair1, Pair*100, Tair )</t>
    <rPh sb="17" eb="19">
      <t>クウキ</t>
    </rPh>
    <phoneticPr fontId="20"/>
  </si>
  <si>
    <t>E6= srEold( WS膜, E5, Tkap )</t>
    <rPh sb="14" eb="15">
      <t>マク</t>
    </rPh>
    <phoneticPr fontId="20"/>
  </si>
  <si>
    <t>Ebm = E6</t>
    <phoneticPr fontId="20"/>
  </si>
  <si>
    <t>必要な加速器ビームエネルギーは？</t>
    <rPh sb="0" eb="2">
      <t>ヒツヨウ</t>
    </rPh>
    <rPh sb="3" eb="6">
      <t>カソクキ</t>
    </rPh>
    <phoneticPr fontId="20"/>
  </si>
  <si>
    <t>[ex07]</t>
    <phoneticPr fontId="20"/>
  </si>
  <si>
    <t>srEnew() srEold() のまとめ</t>
    <phoneticPr fontId="20"/>
  </si>
  <si>
    <t>Edeg厚さ "自動" 計算</t>
    <rPh sb="4" eb="5">
      <t>アツ</t>
    </rPh>
    <rPh sb="8" eb="10">
      <t>ジドウ</t>
    </rPh>
    <rPh sb="12" eb="14">
      <t>ケイサン</t>
    </rPh>
    <phoneticPr fontId="20"/>
  </si>
  <si>
    <t>Edeg厚さ を計算するには？</t>
    <rPh sb="4" eb="5">
      <t>アツ</t>
    </rPh>
    <rPh sb="8" eb="10">
      <t>ケイサン</t>
    </rPh>
    <phoneticPr fontId="20"/>
  </si>
  <si>
    <t>最上流の、真空中のビームエネルギーが決まっている。</t>
    <rPh sb="0" eb="3">
      <t>サイジョウリュウ</t>
    </rPh>
    <rPh sb="5" eb="8">
      <t>シンクウチュウ</t>
    </rPh>
    <rPh sb="18" eb="19">
      <t>キ</t>
    </rPh>
    <phoneticPr fontId="20"/>
  </si>
  <si>
    <t>最下流の、試料表面LET値 も指定した場合、</t>
    <rPh sb="0" eb="3">
      <t>サイカリュウ</t>
    </rPh>
    <rPh sb="5" eb="7">
      <t>シリョウ</t>
    </rPh>
    <rPh sb="7" eb="9">
      <t>ヒョウメン</t>
    </rPh>
    <rPh sb="12" eb="13">
      <t>チ</t>
    </rPh>
    <rPh sb="15" eb="17">
      <t>シテイ</t>
    </rPh>
    <rPh sb="19" eb="21">
      <t>バアイ</t>
    </rPh>
    <phoneticPr fontId="20"/>
  </si>
  <si>
    <t>Edegの入口、出口に於ける "Range" を比較する。即ち、</t>
    <rPh sb="5" eb="7">
      <t>イリグチ</t>
    </rPh>
    <rPh sb="8" eb="10">
      <t>デグチ</t>
    </rPh>
    <rPh sb="11" eb="12">
      <t>オ</t>
    </rPh>
    <rPh sb="24" eb="26">
      <t>ヒカク</t>
    </rPh>
    <rPh sb="29" eb="30">
      <t>スナワ</t>
    </rPh>
    <phoneticPr fontId="20"/>
  </si>
  <si>
    <t>上流からEdeg入口まで順次 Enew() 計算した E を Range変換した値:R1　と、</t>
    <rPh sb="0" eb="2">
      <t>ジョウリュウ</t>
    </rPh>
    <rPh sb="8" eb="10">
      <t>イリグチ</t>
    </rPh>
    <rPh sb="12" eb="14">
      <t>ジュンジ</t>
    </rPh>
    <rPh sb="22" eb="24">
      <t>ケイサン</t>
    </rPh>
    <rPh sb="36" eb="38">
      <t>ヘンカン</t>
    </rPh>
    <rPh sb="40" eb="41">
      <t>アタイ</t>
    </rPh>
    <phoneticPr fontId="20"/>
  </si>
  <si>
    <t>下流からEdeg出口まで順次 Eold() 計算した E を Range変換した値:R2 の</t>
    <rPh sb="0" eb="2">
      <t>カリュウ</t>
    </rPh>
    <rPh sb="8" eb="10">
      <t>デグチ</t>
    </rPh>
    <rPh sb="12" eb="14">
      <t>ジュンジ</t>
    </rPh>
    <rPh sb="22" eb="24">
      <t>ケイサン</t>
    </rPh>
    <rPh sb="36" eb="38">
      <t>ヘンカン</t>
    </rPh>
    <rPh sb="40" eb="41">
      <t>アタイ</t>
    </rPh>
    <phoneticPr fontId="20"/>
  </si>
  <si>
    <t>差： R1-R2 が Edeg厚 である。</t>
    <phoneticPr fontId="20"/>
  </si>
  <si>
    <t>SRIMfit.xlsm</t>
    <phoneticPr fontId="20"/>
  </si>
  <si>
    <t xml:space="preserve"> ver.#</t>
    <phoneticPr fontId="20"/>
  </si>
  <si>
    <t>20.11/04</t>
    <phoneticPr fontId="20"/>
  </si>
  <si>
    <t>未完 srEnewの解説まで</t>
    <phoneticPr fontId="20"/>
  </si>
  <si>
    <t>22.09/14</t>
    <phoneticPr fontId="20"/>
  </si>
  <si>
    <t>ver1.00 初版</t>
    <rPh sb="8" eb="10">
      <t>ショハン</t>
    </rPh>
    <phoneticPr fontId="20"/>
  </si>
  <si>
    <t>Edeg入口でのRange</t>
    <rPh sb="4" eb="6">
      <t>イリグチ</t>
    </rPh>
    <phoneticPr fontId="20"/>
  </si>
  <si>
    <t>E01</t>
    <phoneticPr fontId="20"/>
  </si>
  <si>
    <t>E02</t>
    <phoneticPr fontId="20"/>
  </si>
  <si>
    <t>E11</t>
    <phoneticPr fontId="20"/>
  </si>
  <si>
    <t>E12</t>
    <phoneticPr fontId="20"/>
  </si>
  <si>
    <t>Edeg出口でのRange</t>
    <rPh sb="4" eb="6">
      <t>デグチ</t>
    </rPh>
    <phoneticPr fontId="20"/>
  </si>
  <si>
    <t>= R02-R12</t>
    <phoneticPr fontId="20"/>
  </si>
  <si>
    <t>R12</t>
    <phoneticPr fontId="20"/>
  </si>
  <si>
    <t>R02</t>
    <phoneticPr fontId="20"/>
  </si>
  <si>
    <t>検算</t>
    <rPh sb="0" eb="2">
      <t>ケンザン</t>
    </rPh>
    <phoneticPr fontId="20"/>
  </si>
  <si>
    <t>= Ebm</t>
    <phoneticPr fontId="20"/>
  </si>
  <si>
    <t>E03</t>
    <phoneticPr fontId="20"/>
  </si>
  <si>
    <t>E04</t>
    <phoneticPr fontId="20"/>
  </si>
  <si>
    <t>=</t>
    <phoneticPr fontId="20"/>
  </si>
  <si>
    <t>表面LET(検算)</t>
    <rPh sb="0" eb="2">
      <t>ヒョウメン</t>
    </rPh>
    <rPh sb="6" eb="8">
      <t>ケンザン</t>
    </rPh>
    <phoneticPr fontId="20"/>
  </si>
  <si>
    <t>E01= srEnew( WS膜, Ebm, Tkap )</t>
    <rPh sb="15" eb="16">
      <t>マク</t>
    </rPh>
    <phoneticPr fontId="20"/>
  </si>
  <si>
    <t>E02= srEnewGas( WS空気, E01, Lair1, Pair*100, Tair )</t>
    <rPh sb="18" eb="20">
      <t>クウキ</t>
    </rPh>
    <phoneticPr fontId="20"/>
  </si>
  <si>
    <t>E03= srEnew( WSEdeg, E02, Tal )</t>
    <phoneticPr fontId="20"/>
  </si>
  <si>
    <t>E04= srEnewGas( WS空気, E03, Lair2, Pair*100, Tair )</t>
    <rPh sb="18" eb="20">
      <t>クウキ</t>
    </rPh>
    <phoneticPr fontId="20"/>
  </si>
  <si>
    <t>LET= srE2LETt( WS試料, E04, Uid=0 )</t>
    <rPh sb="17" eb="19">
      <t>シリョウ</t>
    </rPh>
    <phoneticPr fontId="20"/>
  </si>
  <si>
    <t>E11= srLETt2E( WS試料, LET, 0, 1)</t>
    <rPh sb="17" eb="19">
      <t>シリョウ</t>
    </rPh>
    <phoneticPr fontId="20"/>
  </si>
  <si>
    <t>E12= srEold( WS空気, E11, Lair2 )</t>
    <rPh sb="15" eb="17">
      <t>クウキ</t>
    </rPh>
    <phoneticPr fontId="20"/>
  </si>
  <si>
    <t>R02= srE2Rng( WSEdeg, E02 )</t>
    <phoneticPr fontId="20"/>
  </si>
  <si>
    <t>R12= srE2Rng( WSEdeg, E12 )</t>
    <phoneticPr fontId="20"/>
  </si>
  <si>
    <t>Tal = R02 - R12</t>
    <phoneticPr fontId="20"/>
  </si>
  <si>
    <t>E試料表面</t>
    <rPh sb="1" eb="2">
      <t>シリョウ</t>
    </rPh>
    <rPh sb="2" eb="4">
      <t>ヒョウメン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</si>
</sst>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00"/>
    <numFmt numFmtId="177" formatCode="0.0"/>
    <numFmt numFmtId="178" formatCode="0.00000"/>
    <numFmt numFmtId="179" formatCode="0.00_ "/>
    <numFmt numFmtId="180" formatCode="0.000_ "/>
    <numFmt numFmtId="181" formatCode="0.00000_ "/>
    <numFmt numFmtId="182" formatCode="&quot;LET@ &quot;0%"/>
    <numFmt numFmtId="183" formatCode="0.0_ "/>
    <numFmt numFmtId="184" formatCode="0.000.E+00"/>
    <numFmt numFmtId="185" formatCode="0.0E+00"/>
    <numFmt numFmtId="186" formatCode="0.00_);[Red]\(0.00\)"/>
  </numFmts>
  <fonts count="10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  <charset val="204"/>
    </font>
    <font>
      <sz val="10"/>
      <name val="MS Sans Serif"/>
      <family val="2"/>
    </font>
    <font>
      <sz val="10"/>
      <name val="Geneva"/>
      <family val="2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細明朝体"/>
      <family val="3"/>
      <charset val="128"/>
    </font>
    <font>
      <sz val="10"/>
      <name val="細明朝体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2"/>
      <name val="Osaka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0066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6600"/>
      <name val="ＭＳ Ｐゴシック"/>
      <family val="3"/>
      <charset val="128"/>
    </font>
    <font>
      <b/>
      <sz val="9"/>
      <color rgb="FF009900"/>
      <name val="ＭＳ Ｐゴシック"/>
      <family val="3"/>
      <charset val="128"/>
      <scheme val="minor"/>
    </font>
    <font>
      <sz val="9"/>
      <color rgb="FF009900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rgb="FF9933FF"/>
      <name val="ＭＳ Ｐゴシック"/>
      <family val="3"/>
      <charset val="128"/>
    </font>
    <font>
      <b/>
      <sz val="14"/>
      <color rgb="FFC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i/>
      <sz val="11"/>
      <color rgb="FF9900FF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b/>
      <sz val="11"/>
      <color rgb="FF9900FF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</font>
    <font>
      <b/>
      <sz val="14"/>
      <color rgb="FFFF00FF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  <scheme val="minor"/>
    </font>
    <font>
      <b/>
      <i/>
      <sz val="11"/>
      <color rgb="FF009900"/>
      <name val="ＭＳ Ｐゴシック"/>
      <family val="3"/>
      <charset val="128"/>
      <scheme val="minor"/>
    </font>
    <font>
      <b/>
      <sz val="11"/>
      <color rgb="FF009900"/>
      <name val="ＭＳ Ｐゴシック"/>
      <family val="3"/>
      <charset val="128"/>
      <scheme val="minor"/>
    </font>
    <font>
      <i/>
      <sz val="11"/>
      <color rgb="FF0070C0"/>
      <name val="ＭＳ Ｐゴシック"/>
      <family val="3"/>
      <charset val="128"/>
    </font>
    <font>
      <i/>
      <sz val="10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i/>
      <sz val="9"/>
      <color theme="1" tint="0.3499862666707357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7030A0"/>
      <name val="ＭＳ Ｐゴシック"/>
      <family val="3"/>
      <charset val="128"/>
    </font>
    <font>
      <b/>
      <sz val="11"/>
      <color rgb="FF0099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i/>
      <sz val="8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8"/>
      <color rgb="FF006600"/>
      <name val="ＭＳ Ｐゴシック"/>
      <family val="3"/>
      <charset val="128"/>
      <scheme val="minor"/>
    </font>
    <font>
      <b/>
      <sz val="10"/>
      <color rgb="FF006600"/>
      <name val="ＭＳ Ｐゴシック"/>
      <family val="3"/>
      <charset val="128"/>
      <scheme val="minor"/>
    </font>
    <font>
      <sz val="10"/>
      <color rgb="FF006600"/>
      <name val="ＭＳ Ｐゴシック"/>
      <family val="3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11"/>
      <color rgb="FF009900"/>
      <name val="ＭＳ Ｐゴシック"/>
      <family val="3"/>
      <charset val="128"/>
      <scheme val="minor"/>
    </font>
    <font>
      <sz val="11"/>
      <color rgb="FF006600"/>
      <name val="ＭＳ Ｐゴシック"/>
      <family val="3"/>
      <charset val="128"/>
      <scheme val="minor"/>
    </font>
    <font>
      <sz val="9"/>
      <color rgb="FF006600"/>
      <name val="ＭＳ Ｐゴシック"/>
      <family val="3"/>
      <charset val="128"/>
      <scheme val="minor"/>
    </font>
    <font>
      <sz val="6"/>
      <color theme="1" tint="0.499984740745262"/>
      <name val="ＭＳ Ｐゴシック"/>
      <family val="3"/>
      <charset val="128"/>
      <scheme val="minor"/>
    </font>
    <font>
      <sz val="11"/>
      <color rgb="FF9900FF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rgb="FF9900FF"/>
      <name val="ＭＳ Ｐゴシック"/>
      <family val="3"/>
      <charset val="128"/>
    </font>
    <font>
      <b/>
      <sz val="9"/>
      <color rgb="FF0066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8"/>
      <color rgb="FF006600"/>
      <name val="ＭＳ Ｐゴシック"/>
      <family val="3"/>
      <charset val="128"/>
      <scheme val="minor"/>
    </font>
    <font>
      <b/>
      <i/>
      <sz val="10"/>
      <color theme="1" tint="0.34998626667073579"/>
      <name val="ＭＳ Ｐゴシック"/>
      <family val="3"/>
      <charset val="128"/>
      <scheme val="minor"/>
    </font>
    <font>
      <sz val="10"/>
      <color rgb="FF7030A0"/>
      <name val="ＭＳ Ｐゴシック"/>
      <family val="3"/>
      <charset val="128"/>
      <scheme val="minor"/>
    </font>
    <font>
      <b/>
      <sz val="10"/>
      <color rgb="FF7030A0"/>
      <name val="ＭＳ Ｐゴシック"/>
      <family val="3"/>
      <charset val="128"/>
      <scheme val="minor"/>
    </font>
    <font>
      <i/>
      <sz val="9"/>
      <color rgb="FF0070C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i/>
      <sz val="11"/>
      <color rgb="FF0070C0"/>
      <name val="ＭＳ Ｐゴシック"/>
      <family val="3"/>
      <charset val="128"/>
      <scheme val="minor"/>
    </font>
    <font>
      <i/>
      <sz val="10"/>
      <color rgb="FF0070C0"/>
      <name val="ＭＳ Ｐゴシック"/>
      <family val="3"/>
      <charset val="128"/>
      <scheme val="minor"/>
    </font>
    <font>
      <sz val="8"/>
      <color rgb="FF7030A0"/>
      <name val="ＭＳ Ｐゴシック"/>
      <family val="3"/>
      <charset val="128"/>
      <scheme val="minor"/>
    </font>
    <font>
      <i/>
      <sz val="9"/>
      <color rgb="FF7030A0"/>
      <name val="ＭＳ Ｐゴシック"/>
      <family val="3"/>
      <charset val="128"/>
    </font>
    <font>
      <b/>
      <sz val="11"/>
      <color rgb="FF7030A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5">
    <xf numFmtId="0" fontId="0" fillId="0" borderId="0">
      <alignment vertical="center"/>
    </xf>
    <xf numFmtId="0" fontId="15" fillId="0" borderId="0"/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3" fillId="0" borderId="0"/>
    <xf numFmtId="0" fontId="11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5" fillId="0" borderId="0"/>
    <xf numFmtId="0" fontId="26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28" fillId="0" borderId="0"/>
    <xf numFmtId="38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315">
    <xf numFmtId="0" fontId="0" fillId="0" borderId="0" xfId="0">
      <alignment vertical="center"/>
    </xf>
    <xf numFmtId="0" fontId="24" fillId="0" borderId="0" xfId="0" applyFont="1">
      <alignment vertical="center"/>
    </xf>
    <xf numFmtId="0" fontId="29" fillId="0" borderId="0" xfId="10" applyFont="1" applyAlignment="1">
      <alignment horizontal="left" vertical="center"/>
    </xf>
    <xf numFmtId="0" fontId="0" fillId="0" borderId="0" xfId="0" quotePrefix="1">
      <alignment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0" fillId="2" borderId="0" xfId="0" applyFill="1">
      <alignment vertical="center"/>
    </xf>
    <xf numFmtId="0" fontId="30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1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1" fillId="0" borderId="0" xfId="0" applyFont="1">
      <alignment vertical="center"/>
    </xf>
    <xf numFmtId="0" fontId="29" fillId="0" borderId="0" xfId="0" applyFont="1">
      <alignment vertical="center"/>
    </xf>
    <xf numFmtId="0" fontId="41" fillId="0" borderId="0" xfId="10" applyFont="1" applyAlignment="1">
      <alignment horizontal="left" vertical="center"/>
    </xf>
    <xf numFmtId="0" fontId="33" fillId="3" borderId="0" xfId="0" applyFont="1" applyFill="1" applyAlignment="1">
      <alignment horizontal="center" vertical="center"/>
    </xf>
    <xf numFmtId="0" fontId="18" fillId="0" borderId="12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4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40" fillId="4" borderId="0" xfId="0" applyFont="1" applyFill="1">
      <alignment vertical="center"/>
    </xf>
    <xf numFmtId="0" fontId="45" fillId="4" borderId="0" xfId="0" applyFont="1" applyFill="1" applyAlignment="1"/>
    <xf numFmtId="0" fontId="39" fillId="4" borderId="0" xfId="0" applyFont="1" applyFill="1" applyAlignment="1"/>
    <xf numFmtId="0" fontId="18" fillId="4" borderId="0" xfId="0" applyFont="1" applyFill="1" applyAlignment="1"/>
    <xf numFmtId="0" fontId="40" fillId="4" borderId="0" xfId="0" applyFont="1" applyFill="1" applyAlignment="1"/>
    <xf numFmtId="0" fontId="18" fillId="0" borderId="0" xfId="0" applyFont="1" applyAlignment="1"/>
    <xf numFmtId="0" fontId="46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42" fillId="0" borderId="14" xfId="1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177" fontId="32" fillId="0" borderId="8" xfId="0" applyNumberFormat="1" applyFont="1" applyBorder="1">
      <alignment vertical="center"/>
    </xf>
    <xf numFmtId="177" fontId="32" fillId="0" borderId="9" xfId="0" applyNumberFormat="1" applyFont="1" applyBorder="1">
      <alignment vertical="center"/>
    </xf>
    <xf numFmtId="0" fontId="18" fillId="0" borderId="0" xfId="0" quotePrefix="1" applyFont="1" applyAlignment="1">
      <alignment horizontal="center" vertical="center"/>
    </xf>
    <xf numFmtId="0" fontId="47" fillId="0" borderId="0" xfId="0" applyFont="1">
      <alignment vertical="center"/>
    </xf>
    <xf numFmtId="0" fontId="43" fillId="0" borderId="0" xfId="0" applyFont="1">
      <alignment vertical="center"/>
    </xf>
    <xf numFmtId="0" fontId="41" fillId="0" borderId="0" xfId="0" applyFont="1" applyAlignment="1">
      <alignment horizontal="right" vertical="center"/>
    </xf>
    <xf numFmtId="0" fontId="41" fillId="0" borderId="0" xfId="0" applyFont="1">
      <alignment vertical="center"/>
    </xf>
    <xf numFmtId="0" fontId="44" fillId="0" borderId="0" xfId="0" applyFont="1">
      <alignment vertical="center"/>
    </xf>
    <xf numFmtId="0" fontId="44" fillId="0" borderId="0" xfId="0" applyFont="1" applyAlignment="1"/>
    <xf numFmtId="0" fontId="48" fillId="0" borderId="13" xfId="0" applyFont="1" applyBorder="1">
      <alignment vertical="center"/>
    </xf>
    <xf numFmtId="0" fontId="49" fillId="0" borderId="0" xfId="0" applyFont="1">
      <alignment vertical="center"/>
    </xf>
    <xf numFmtId="0" fontId="50" fillId="0" borderId="0" xfId="0" applyFont="1" applyAlignment="1">
      <alignment horizontal="left" vertical="center"/>
    </xf>
    <xf numFmtId="0" fontId="33" fillId="3" borderId="8" xfId="0" applyFont="1" applyFill="1" applyBorder="1" applyAlignment="1">
      <alignment horizontal="right" vertical="center"/>
    </xf>
    <xf numFmtId="0" fontId="33" fillId="3" borderId="9" xfId="0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17" fillId="0" borderId="5" xfId="0" applyFont="1" applyBorder="1" applyAlignment="1">
      <alignment vertical="top"/>
    </xf>
    <xf numFmtId="0" fontId="17" fillId="0" borderId="7" xfId="0" applyFont="1" applyBorder="1" applyAlignment="1">
      <alignment vertical="top"/>
    </xf>
    <xf numFmtId="0" fontId="51" fillId="0" borderId="8" xfId="0" applyFont="1" applyBorder="1" applyAlignment="1">
      <alignment vertical="top"/>
    </xf>
    <xf numFmtId="0" fontId="51" fillId="0" borderId="1" xfId="0" applyFont="1" applyBorder="1" applyAlignment="1">
      <alignment vertical="top"/>
    </xf>
    <xf numFmtId="0" fontId="51" fillId="0" borderId="9" xfId="0" applyFont="1" applyBorder="1" applyAlignment="1">
      <alignment vertical="top"/>
    </xf>
    <xf numFmtId="0" fontId="51" fillId="0" borderId="10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1" xfId="0" quotePrefix="1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33" fillId="3" borderId="13" xfId="0" applyFont="1" applyFill="1" applyBorder="1">
      <alignment vertical="center"/>
    </xf>
    <xf numFmtId="0" fontId="18" fillId="3" borderId="7" xfId="0" applyFont="1" applyFill="1" applyBorder="1">
      <alignment vertical="center"/>
    </xf>
    <xf numFmtId="0" fontId="33" fillId="0" borderId="0" xfId="0" applyFont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18" fillId="0" borderId="3" xfId="0" applyFont="1" applyBorder="1">
      <alignment vertical="center"/>
    </xf>
    <xf numFmtId="2" fontId="32" fillId="0" borderId="7" xfId="0" applyNumberFormat="1" applyFont="1" applyBorder="1">
      <alignment vertical="center"/>
    </xf>
    <xf numFmtId="2" fontId="32" fillId="0" borderId="7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2" fillId="0" borderId="7" xfId="0" applyFont="1" applyBorder="1">
      <alignment vertical="center"/>
    </xf>
    <xf numFmtId="0" fontId="52" fillId="0" borderId="2" xfId="0" applyFont="1" applyBorder="1">
      <alignment vertical="center"/>
    </xf>
    <xf numFmtId="0" fontId="35" fillId="0" borderId="9" xfId="0" applyFont="1" applyBorder="1">
      <alignment vertical="center"/>
    </xf>
    <xf numFmtId="0" fontId="18" fillId="0" borderId="9" xfId="0" applyFont="1" applyBorder="1">
      <alignment vertical="center"/>
    </xf>
    <xf numFmtId="2" fontId="32" fillId="0" borderId="4" xfId="0" applyNumberFormat="1" applyFont="1" applyBorder="1">
      <alignment vertical="center"/>
    </xf>
    <xf numFmtId="2" fontId="32" fillId="0" borderId="13" xfId="0" applyNumberFormat="1" applyFont="1" applyBorder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18" fillId="0" borderId="5" xfId="0" quotePrefix="1" applyFont="1" applyBorder="1" applyAlignment="1">
      <alignment horizontal="center" vertical="center"/>
    </xf>
    <xf numFmtId="0" fontId="18" fillId="0" borderId="7" xfId="0" quotePrefix="1" applyFont="1" applyBorder="1" applyAlignment="1">
      <alignment horizontal="center" vertical="center"/>
    </xf>
    <xf numFmtId="0" fontId="52" fillId="0" borderId="8" xfId="0" applyFont="1" applyBorder="1" applyAlignment="1">
      <alignment horizontal="left" vertical="center"/>
    </xf>
    <xf numFmtId="177" fontId="33" fillId="3" borderId="8" xfId="0" applyNumberFormat="1" applyFont="1" applyFill="1" applyBorder="1" applyAlignment="1">
      <alignment horizontal="right" vertical="center"/>
    </xf>
    <xf numFmtId="177" fontId="33" fillId="3" borderId="9" xfId="0" applyNumberFormat="1" applyFont="1" applyFill="1" applyBorder="1" applyAlignment="1">
      <alignment horizontal="right" vertical="center"/>
    </xf>
    <xf numFmtId="0" fontId="18" fillId="0" borderId="3" xfId="0" quotePrefix="1" applyFont="1" applyBorder="1">
      <alignment vertical="center"/>
    </xf>
    <xf numFmtId="0" fontId="35" fillId="0" borderId="4" xfId="0" applyFont="1" applyBorder="1">
      <alignment vertical="center"/>
    </xf>
    <xf numFmtId="0" fontId="35" fillId="0" borderId="13" xfId="0" applyFont="1" applyBorder="1">
      <alignment vertical="center"/>
    </xf>
    <xf numFmtId="0" fontId="18" fillId="0" borderId="10" xfId="0" quotePrefix="1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177" fontId="35" fillId="0" borderId="1" xfId="0" applyNumberFormat="1" applyFont="1" applyBorder="1">
      <alignment vertical="center"/>
    </xf>
    <xf numFmtId="177" fontId="35" fillId="0" borderId="9" xfId="0" applyNumberFormat="1" applyFont="1" applyBorder="1">
      <alignment vertical="center"/>
    </xf>
    <xf numFmtId="0" fontId="18" fillId="0" borderId="10" xfId="0" applyFont="1" applyBorder="1">
      <alignment vertical="center"/>
    </xf>
    <xf numFmtId="176" fontId="35" fillId="0" borderId="5" xfId="0" applyNumberFormat="1" applyFont="1" applyBorder="1">
      <alignment vertical="center"/>
    </xf>
    <xf numFmtId="176" fontId="35" fillId="0" borderId="1" xfId="0" applyNumberFormat="1" applyFont="1" applyBorder="1">
      <alignment vertical="center"/>
    </xf>
    <xf numFmtId="176" fontId="35" fillId="0" borderId="7" xfId="0" applyNumberFormat="1" applyFont="1" applyBorder="1">
      <alignment vertical="center"/>
    </xf>
    <xf numFmtId="176" fontId="35" fillId="0" borderId="9" xfId="0" applyNumberFormat="1" applyFont="1" applyBorder="1">
      <alignment vertical="center"/>
    </xf>
    <xf numFmtId="0" fontId="53" fillId="0" borderId="8" xfId="0" applyFont="1" applyBorder="1" applyAlignment="1">
      <alignment horizontal="center" vertical="top" wrapText="1"/>
    </xf>
    <xf numFmtId="0" fontId="54" fillId="0" borderId="3" xfId="0" applyFont="1" applyBorder="1" applyAlignment="1">
      <alignment horizontal="center" vertical="top" wrapText="1"/>
    </xf>
    <xf numFmtId="0" fontId="55" fillId="0" borderId="5" xfId="0" applyFont="1" applyBorder="1" applyAlignment="1">
      <alignment vertical="top"/>
    </xf>
    <xf numFmtId="0" fontId="56" fillId="0" borderId="0" xfId="0" applyFont="1" applyAlignment="1">
      <alignment horizontal="center" vertical="center"/>
    </xf>
    <xf numFmtId="0" fontId="56" fillId="0" borderId="0" xfId="0" applyFont="1">
      <alignment vertical="center"/>
    </xf>
    <xf numFmtId="0" fontId="57" fillId="0" borderId="0" xfId="0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8" fillId="0" borderId="0" xfId="0" applyFont="1">
      <alignment vertical="center"/>
    </xf>
    <xf numFmtId="0" fontId="57" fillId="0" borderId="0" xfId="0" quotePrefix="1" applyFont="1">
      <alignment vertical="center"/>
    </xf>
    <xf numFmtId="0" fontId="61" fillId="0" borderId="0" xfId="0" applyFont="1">
      <alignment vertical="center"/>
    </xf>
    <xf numFmtId="0" fontId="62" fillId="0" borderId="0" xfId="0" quotePrefix="1" applyFont="1" applyAlignment="1">
      <alignment horizontal="left" vertical="center"/>
    </xf>
    <xf numFmtId="0" fontId="35" fillId="0" borderId="0" xfId="0" applyFont="1">
      <alignment vertical="center"/>
    </xf>
    <xf numFmtId="0" fontId="33" fillId="3" borderId="13" xfId="0" applyFont="1" applyFill="1" applyBorder="1" applyAlignment="1">
      <alignment horizontal="center" vertical="center"/>
    </xf>
    <xf numFmtId="0" fontId="64" fillId="0" borderId="0" xfId="0" applyFont="1">
      <alignment vertical="center"/>
    </xf>
    <xf numFmtId="177" fontId="33" fillId="3" borderId="10" xfId="0" applyNumberFormat="1" applyFont="1" applyFill="1" applyBorder="1" applyAlignment="1">
      <alignment horizontal="center" vertical="center"/>
    </xf>
    <xf numFmtId="2" fontId="65" fillId="0" borderId="10" xfId="0" applyNumberFormat="1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77" fontId="33" fillId="5" borderId="10" xfId="0" applyNumberFormat="1" applyFont="1" applyFill="1" applyBorder="1" applyAlignment="1">
      <alignment horizontal="center" vertical="center"/>
    </xf>
    <xf numFmtId="0" fontId="18" fillId="0" borderId="0" xfId="0" quotePrefix="1" applyFont="1">
      <alignment vertical="center"/>
    </xf>
    <xf numFmtId="2" fontId="65" fillId="5" borderId="10" xfId="0" applyNumberFormat="1" applyFont="1" applyFill="1" applyBorder="1">
      <alignment vertical="center"/>
    </xf>
    <xf numFmtId="0" fontId="6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8" fillId="0" borderId="12" xfId="0" quotePrefix="1" applyFont="1" applyBorder="1" applyAlignment="1">
      <alignment horizontal="center" vertical="center"/>
    </xf>
    <xf numFmtId="0" fontId="66" fillId="0" borderId="12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64" fillId="0" borderId="8" xfId="0" applyFont="1" applyBorder="1">
      <alignment vertical="center"/>
    </xf>
    <xf numFmtId="0" fontId="64" fillId="0" borderId="1" xfId="0" applyFont="1" applyBorder="1">
      <alignment vertical="center"/>
    </xf>
    <xf numFmtId="0" fontId="64" fillId="0" borderId="9" xfId="0" applyFont="1" applyBorder="1">
      <alignment vertical="center"/>
    </xf>
    <xf numFmtId="0" fontId="44" fillId="0" borderId="8" xfId="0" applyFont="1" applyBorder="1" applyAlignment="1">
      <alignment horizontal="center" vertical="center"/>
    </xf>
    <xf numFmtId="0" fontId="43" fillId="0" borderId="0" xfId="0" quotePrefix="1" applyFont="1" applyAlignment="1">
      <alignment horizontal="left" vertical="center"/>
    </xf>
    <xf numFmtId="0" fontId="52" fillId="0" borderId="0" xfId="0" quotePrefix="1" applyFont="1" applyAlignment="1">
      <alignment horizontal="center" vertical="center"/>
    </xf>
    <xf numFmtId="0" fontId="69" fillId="0" borderId="0" xfId="0" applyFont="1">
      <alignment vertical="center"/>
    </xf>
    <xf numFmtId="0" fontId="70" fillId="0" borderId="0" xfId="93" applyFont="1" applyAlignment="1">
      <alignment horizontal="right" vertical="center"/>
    </xf>
    <xf numFmtId="0" fontId="70" fillId="0" borderId="0" xfId="93" applyFont="1" applyAlignment="1">
      <alignment horizontal="left" vertical="center"/>
    </xf>
    <xf numFmtId="0" fontId="70" fillId="0" borderId="0" xfId="93" applyFont="1">
      <alignment vertical="center"/>
    </xf>
    <xf numFmtId="0" fontId="70" fillId="3" borderId="12" xfId="93" applyFont="1" applyFill="1" applyBorder="1">
      <alignment vertical="center"/>
    </xf>
    <xf numFmtId="0" fontId="72" fillId="0" borderId="0" xfId="0" quotePrefix="1" applyFont="1">
      <alignment vertical="center"/>
    </xf>
    <xf numFmtId="0" fontId="73" fillId="0" borderId="0" xfId="11" applyFont="1" applyAlignment="1">
      <alignment vertical="center"/>
    </xf>
    <xf numFmtId="0" fontId="74" fillId="0" borderId="0" xfId="11" applyFont="1" applyAlignment="1">
      <alignment horizontal="left" vertical="center"/>
    </xf>
    <xf numFmtId="0" fontId="72" fillId="0" borderId="0" xfId="93" applyFont="1">
      <alignment vertical="center"/>
    </xf>
    <xf numFmtId="0" fontId="70" fillId="0" borderId="0" xfId="0" applyFont="1">
      <alignment vertical="center"/>
    </xf>
    <xf numFmtId="0" fontId="72" fillId="0" borderId="0" xfId="0" applyFont="1" applyAlignment="1">
      <alignment horizontal="center" vertical="center"/>
    </xf>
    <xf numFmtId="0" fontId="74" fillId="0" borderId="0" xfId="11" applyFont="1" applyAlignment="1">
      <alignment vertical="center"/>
    </xf>
    <xf numFmtId="0" fontId="76" fillId="0" borderId="0" xfId="93" applyFont="1" applyAlignment="1">
      <alignment horizontal="center" vertical="center"/>
    </xf>
    <xf numFmtId="0" fontId="70" fillId="0" borderId="0" xfId="11" applyFont="1" applyAlignment="1">
      <alignment vertical="center"/>
    </xf>
    <xf numFmtId="0" fontId="77" fillId="0" borderId="3" xfId="93" applyFont="1" applyBorder="1">
      <alignment vertical="center"/>
    </xf>
    <xf numFmtId="0" fontId="70" fillId="0" borderId="5" xfId="93" applyFont="1" applyBorder="1">
      <alignment vertical="center"/>
    </xf>
    <xf numFmtId="0" fontId="77" fillId="0" borderId="0" xfId="93" applyFont="1">
      <alignment vertical="center"/>
    </xf>
    <xf numFmtId="0" fontId="70" fillId="0" borderId="7" xfId="93" applyFont="1" applyBorder="1">
      <alignment vertical="center"/>
    </xf>
    <xf numFmtId="0" fontId="70" fillId="0" borderId="0" xfId="93" applyFont="1" applyAlignment="1">
      <alignment horizontal="center" vertical="center"/>
    </xf>
    <xf numFmtId="11" fontId="70" fillId="0" borderId="0" xfId="11" quotePrefix="1" applyNumberFormat="1" applyFont="1" applyAlignment="1">
      <alignment vertical="center"/>
    </xf>
    <xf numFmtId="0" fontId="73" fillId="0" borderId="0" xfId="11" applyFont="1" applyAlignment="1">
      <alignment horizontal="left" vertical="center"/>
    </xf>
    <xf numFmtId="176" fontId="78" fillId="0" borderId="0" xfId="93" applyNumberFormat="1" applyFont="1">
      <alignment vertical="center"/>
    </xf>
    <xf numFmtId="178" fontId="78" fillId="0" borderId="0" xfId="93" applyNumberFormat="1" applyFont="1">
      <alignment vertical="center"/>
    </xf>
    <xf numFmtId="2" fontId="79" fillId="0" borderId="0" xfId="0" applyNumberFormat="1" applyFont="1">
      <alignment vertical="center"/>
    </xf>
    <xf numFmtId="0" fontId="70" fillId="0" borderId="0" xfId="0" quotePrefix="1" applyFont="1">
      <alignment vertical="center"/>
    </xf>
    <xf numFmtId="0" fontId="19" fillId="0" borderId="0" xfId="0" quotePrefix="1" applyFont="1" applyAlignment="1">
      <alignment horizontal="left" vertical="center"/>
    </xf>
    <xf numFmtId="179" fontId="80" fillId="0" borderId="0" xfId="94" applyNumberFormat="1" applyFont="1">
      <alignment vertical="center"/>
    </xf>
    <xf numFmtId="0" fontId="81" fillId="0" borderId="0" xfId="0" quotePrefix="1" applyFont="1">
      <alignment vertical="center"/>
    </xf>
    <xf numFmtId="0" fontId="79" fillId="0" borderId="0" xfId="0" applyFont="1">
      <alignment vertical="center"/>
    </xf>
    <xf numFmtId="0" fontId="19" fillId="0" borderId="0" xfId="0" applyFont="1">
      <alignment vertical="center"/>
    </xf>
    <xf numFmtId="0" fontId="71" fillId="3" borderId="10" xfId="93" applyFont="1" applyFill="1" applyBorder="1" applyAlignment="1">
      <alignment horizontal="center" vertical="center"/>
    </xf>
    <xf numFmtId="0" fontId="70" fillId="0" borderId="10" xfId="93" applyFont="1" applyBorder="1">
      <alignment vertical="center"/>
    </xf>
    <xf numFmtId="182" fontId="71" fillId="3" borderId="1" xfId="93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0" fontId="80" fillId="0" borderId="0" xfId="0" applyFont="1">
      <alignment vertical="center"/>
    </xf>
    <xf numFmtId="183" fontId="71" fillId="3" borderId="8" xfId="0" applyNumberFormat="1" applyFont="1" applyFill="1" applyBorder="1">
      <alignment vertical="center"/>
    </xf>
    <xf numFmtId="183" fontId="71" fillId="3" borderId="9" xfId="0" applyNumberFormat="1" applyFont="1" applyFill="1" applyBorder="1">
      <alignment vertical="center"/>
    </xf>
    <xf numFmtId="0" fontId="70" fillId="0" borderId="8" xfId="0" applyFont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0" fontId="70" fillId="0" borderId="15" xfId="0" applyFont="1" applyBorder="1" applyAlignment="1">
      <alignment horizontal="center" vertical="center"/>
    </xf>
    <xf numFmtId="0" fontId="70" fillId="0" borderId="3" xfId="0" applyFont="1" applyBorder="1" applyAlignment="1">
      <alignment horizontal="center" vertical="center"/>
    </xf>
    <xf numFmtId="0" fontId="70" fillId="0" borderId="15" xfId="93" applyFont="1" applyBorder="1" applyAlignment="1">
      <alignment horizontal="center" vertical="center"/>
    </xf>
    <xf numFmtId="0" fontId="70" fillId="0" borderId="9" xfId="0" applyFont="1" applyBorder="1" applyAlignment="1">
      <alignment horizontal="center" vertical="center"/>
    </xf>
    <xf numFmtId="0" fontId="70" fillId="0" borderId="13" xfId="0" applyFont="1" applyBorder="1">
      <alignment vertical="center"/>
    </xf>
    <xf numFmtId="0" fontId="70" fillId="0" borderId="6" xfId="93" applyFont="1" applyBorder="1">
      <alignment vertical="center"/>
    </xf>
    <xf numFmtId="0" fontId="70" fillId="0" borderId="6" xfId="93" applyFont="1" applyBorder="1" applyAlignment="1">
      <alignment horizontal="center" vertical="center"/>
    </xf>
    <xf numFmtId="0" fontId="70" fillId="0" borderId="13" xfId="93" applyFont="1" applyBorder="1" applyAlignment="1">
      <alignment horizontal="center" vertical="center"/>
    </xf>
    <xf numFmtId="0" fontId="70" fillId="0" borderId="7" xfId="93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1" fillId="3" borderId="10" xfId="0" applyFont="1" applyFill="1" applyBorder="1" applyAlignment="1">
      <alignment horizontal="center" vertical="center"/>
    </xf>
    <xf numFmtId="185" fontId="82" fillId="0" borderId="0" xfId="0" applyNumberFormat="1" applyFont="1">
      <alignment vertical="center"/>
    </xf>
    <xf numFmtId="184" fontId="75" fillId="0" borderId="0" xfId="0" applyNumberFormat="1" applyFont="1">
      <alignment vertical="center"/>
    </xf>
    <xf numFmtId="185" fontId="77" fillId="0" borderId="8" xfId="0" applyNumberFormat="1" applyFont="1" applyBorder="1">
      <alignment vertical="center"/>
    </xf>
    <xf numFmtId="185" fontId="77" fillId="0" borderId="9" xfId="0" applyNumberFormat="1" applyFont="1" applyBorder="1">
      <alignment vertical="center"/>
    </xf>
    <xf numFmtId="0" fontId="57" fillId="0" borderId="0" xfId="0" quotePrefix="1" applyFont="1" applyAlignment="1">
      <alignment horizontal="right" vertical="center"/>
    </xf>
    <xf numFmtId="0" fontId="83" fillId="0" borderId="0" xfId="0" applyFont="1" applyAlignment="1">
      <alignment horizontal="center"/>
    </xf>
    <xf numFmtId="0" fontId="84" fillId="3" borderId="0" xfId="0" applyFont="1" applyFill="1" applyAlignment="1">
      <alignment horizontal="center" vertical="center"/>
    </xf>
    <xf numFmtId="0" fontId="63" fillId="0" borderId="0" xfId="0" applyFont="1">
      <alignment vertical="center"/>
    </xf>
    <xf numFmtId="0" fontId="86" fillId="0" borderId="0" xfId="0" applyFont="1" applyAlignment="1">
      <alignment horizontal="center"/>
    </xf>
    <xf numFmtId="0" fontId="63" fillId="0" borderId="0" xfId="0" applyFont="1" applyAlignment="1"/>
    <xf numFmtId="0" fontId="87" fillId="0" borderId="0" xfId="0" applyFont="1" applyAlignment="1">
      <alignment horizontal="center"/>
    </xf>
    <xf numFmtId="0" fontId="88" fillId="3" borderId="0" xfId="0" applyFont="1" applyFill="1" applyAlignment="1">
      <alignment horizontal="center" vertical="center"/>
    </xf>
    <xf numFmtId="0" fontId="72" fillId="0" borderId="10" xfId="93" applyFont="1" applyBorder="1" applyAlignment="1">
      <alignment horizontal="right" vertical="center"/>
    </xf>
    <xf numFmtId="0" fontId="72" fillId="0" borderId="8" xfId="93" applyFont="1" applyBorder="1" applyAlignment="1">
      <alignment horizontal="right" vertical="center"/>
    </xf>
    <xf numFmtId="0" fontId="72" fillId="0" borderId="1" xfId="93" applyFont="1" applyBorder="1" applyAlignment="1">
      <alignment horizontal="right" vertical="center"/>
    </xf>
    <xf numFmtId="0" fontId="72" fillId="0" borderId="9" xfId="93" applyFont="1" applyBorder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72" fillId="0" borderId="0" xfId="93" applyFont="1" applyAlignment="1">
      <alignment horizontal="right" vertical="center"/>
    </xf>
    <xf numFmtId="0" fontId="72" fillId="0" borderId="0" xfId="11" applyFont="1" applyAlignment="1">
      <alignment horizontal="center" vertical="center"/>
    </xf>
    <xf numFmtId="0" fontId="72" fillId="0" borderId="0" xfId="11" applyFont="1" applyAlignment="1">
      <alignment vertical="center"/>
    </xf>
    <xf numFmtId="0" fontId="72" fillId="0" borderId="0" xfId="11" applyFont="1" applyAlignment="1">
      <alignment horizontal="left" vertical="center"/>
    </xf>
    <xf numFmtId="0" fontId="72" fillId="0" borderId="0" xfId="93" applyFont="1" applyAlignment="1">
      <alignment horizontal="left" vertical="center"/>
    </xf>
    <xf numFmtId="0" fontId="89" fillId="0" borderId="0" xfId="0" applyFont="1">
      <alignment vertical="center"/>
    </xf>
    <xf numFmtId="0" fontId="76" fillId="0" borderId="15" xfId="93" applyFont="1" applyBorder="1" applyAlignment="1">
      <alignment horizontal="left" vertical="center"/>
    </xf>
    <xf numFmtId="0" fontId="76" fillId="0" borderId="0" xfId="93" applyFont="1" applyAlignment="1">
      <alignment horizontal="left" vertical="center"/>
    </xf>
    <xf numFmtId="10" fontId="76" fillId="0" borderId="6" xfId="92" applyNumberFormat="1" applyFont="1" applyFill="1" applyBorder="1" applyAlignment="1">
      <alignment horizontal="right" vertical="center"/>
    </xf>
    <xf numFmtId="11" fontId="76" fillId="0" borderId="0" xfId="93" applyNumberFormat="1" applyFont="1" applyAlignment="1">
      <alignment horizontal="left" vertical="center"/>
    </xf>
    <xf numFmtId="0" fontId="90" fillId="0" borderId="0" xfId="0" quotePrefix="1" applyFont="1">
      <alignment vertical="center"/>
    </xf>
    <xf numFmtId="0" fontId="76" fillId="0" borderId="15" xfId="11" applyFont="1" applyBorder="1" applyAlignment="1">
      <alignment horizontal="right" vertical="center"/>
    </xf>
    <xf numFmtId="0" fontId="76" fillId="0" borderId="3" xfId="11" applyFont="1" applyBorder="1" applyAlignment="1">
      <alignment horizontal="right" vertical="center"/>
    </xf>
    <xf numFmtId="0" fontId="76" fillId="0" borderId="0" xfId="93" applyFont="1">
      <alignment vertical="center"/>
    </xf>
    <xf numFmtId="0" fontId="76" fillId="0" borderId="5" xfId="93" applyFont="1" applyBorder="1">
      <alignment vertical="center"/>
    </xf>
    <xf numFmtId="0" fontId="76" fillId="0" borderId="6" xfId="93" applyFont="1" applyBorder="1">
      <alignment vertical="center"/>
    </xf>
    <xf numFmtId="0" fontId="76" fillId="0" borderId="7" xfId="93" applyFont="1" applyBorder="1">
      <alignment vertical="center"/>
    </xf>
    <xf numFmtId="11" fontId="76" fillId="0" borderId="15" xfId="93" applyNumberFormat="1" applyFont="1" applyBorder="1" applyAlignment="1">
      <alignment horizontal="right" vertical="center"/>
    </xf>
    <xf numFmtId="11" fontId="76" fillId="0" borderId="3" xfId="93" applyNumberFormat="1" applyFont="1" applyBorder="1" applyAlignment="1">
      <alignment horizontal="right" vertical="center"/>
    </xf>
    <xf numFmtId="11" fontId="76" fillId="0" borderId="0" xfId="93" applyNumberFormat="1" applyFont="1" applyAlignment="1">
      <alignment horizontal="right" vertical="center"/>
    </xf>
    <xf numFmtId="11" fontId="76" fillId="0" borderId="5" xfId="93" applyNumberFormat="1" applyFont="1" applyBorder="1" applyAlignment="1">
      <alignment horizontal="right" vertical="center"/>
    </xf>
    <xf numFmtId="11" fontId="76" fillId="0" borderId="6" xfId="93" applyNumberFormat="1" applyFont="1" applyBorder="1" applyAlignment="1">
      <alignment horizontal="right" vertical="center"/>
    </xf>
    <xf numFmtId="11" fontId="76" fillId="0" borderId="7" xfId="93" applyNumberFormat="1" applyFont="1" applyBorder="1" applyAlignment="1">
      <alignment horizontal="right" vertical="center"/>
    </xf>
    <xf numFmtId="0" fontId="72" fillId="0" borderId="0" xfId="93" applyFont="1" applyAlignment="1">
      <alignment horizontal="center" vertical="center"/>
    </xf>
    <xf numFmtId="11" fontId="76" fillId="0" borderId="8" xfId="11" applyNumberFormat="1" applyFont="1" applyBorder="1" applyAlignment="1">
      <alignment vertical="center"/>
    </xf>
    <xf numFmtId="11" fontId="76" fillId="0" borderId="1" xfId="11" applyNumberFormat="1" applyFont="1" applyBorder="1" applyAlignment="1">
      <alignment vertical="center"/>
    </xf>
    <xf numFmtId="11" fontId="76" fillId="0" borderId="9" xfId="11" applyNumberFormat="1" applyFont="1" applyBorder="1" applyAlignment="1">
      <alignment vertical="center"/>
    </xf>
    <xf numFmtId="0" fontId="71" fillId="0" borderId="0" xfId="93" applyFont="1">
      <alignment vertical="center"/>
    </xf>
    <xf numFmtId="0" fontId="71" fillId="0" borderId="0" xfId="93" applyFont="1" applyAlignment="1">
      <alignment horizontal="right" vertical="center"/>
    </xf>
    <xf numFmtId="177" fontId="92" fillId="0" borderId="0" xfId="93" applyNumberFormat="1" applyFont="1">
      <alignment vertical="center"/>
    </xf>
    <xf numFmtId="0" fontId="76" fillId="0" borderId="5" xfId="93" applyFont="1" applyBorder="1" applyAlignment="1">
      <alignment horizontal="center" vertical="center"/>
    </xf>
    <xf numFmtId="0" fontId="19" fillId="0" borderId="5" xfId="93" applyFont="1" applyBorder="1" applyAlignment="1">
      <alignment horizontal="center" vertical="center"/>
    </xf>
    <xf numFmtId="0" fontId="89" fillId="0" borderId="0" xfId="93" applyFont="1" applyAlignment="1">
      <alignment horizontal="left" vertical="center"/>
    </xf>
    <xf numFmtId="0" fontId="93" fillId="0" borderId="0" xfId="0" quotePrefix="1" applyFont="1">
      <alignment vertical="center"/>
    </xf>
    <xf numFmtId="0" fontId="93" fillId="0" borderId="0" xfId="0" applyFont="1">
      <alignment vertical="center"/>
    </xf>
    <xf numFmtId="0" fontId="94" fillId="0" borderId="5" xfId="11" applyFont="1" applyBorder="1" applyAlignment="1">
      <alignment vertical="center"/>
    </xf>
    <xf numFmtId="0" fontId="95" fillId="0" borderId="5" xfId="93" applyFont="1" applyBorder="1">
      <alignment vertical="center"/>
    </xf>
    <xf numFmtId="0" fontId="96" fillId="3" borderId="11" xfId="93" applyFont="1" applyFill="1" applyBorder="1" applyAlignment="1">
      <alignment horizontal="left" vertical="center"/>
    </xf>
    <xf numFmtId="0" fontId="72" fillId="0" borderId="0" xfId="93" quotePrefix="1" applyFont="1">
      <alignment vertical="center"/>
    </xf>
    <xf numFmtId="0" fontId="72" fillId="0" borderId="11" xfId="93" applyFont="1" applyBorder="1" applyAlignment="1">
      <alignment horizontal="center" vertical="center"/>
    </xf>
    <xf numFmtId="0" fontId="72" fillId="0" borderId="12" xfId="93" applyFont="1" applyBorder="1" applyAlignment="1">
      <alignment horizontal="center" vertical="center"/>
    </xf>
    <xf numFmtId="0" fontId="72" fillId="0" borderId="1" xfId="93" applyFont="1" applyBorder="1">
      <alignment vertical="center"/>
    </xf>
    <xf numFmtId="0" fontId="97" fillId="0" borderId="0" xfId="93" applyFont="1">
      <alignment vertical="center"/>
    </xf>
    <xf numFmtId="180" fontId="76" fillId="0" borderId="0" xfId="94" applyNumberFormat="1" applyFont="1">
      <alignment vertical="center"/>
    </xf>
    <xf numFmtId="180" fontId="76" fillId="0" borderId="5" xfId="94" applyNumberFormat="1" applyFont="1" applyBorder="1">
      <alignment vertical="center"/>
    </xf>
    <xf numFmtId="181" fontId="76" fillId="0" borderId="5" xfId="94" applyNumberFormat="1" applyFont="1" applyBorder="1">
      <alignment vertical="center"/>
    </xf>
    <xf numFmtId="176" fontId="76" fillId="0" borderId="0" xfId="93" applyNumberFormat="1" applyFont="1">
      <alignment vertical="center"/>
    </xf>
    <xf numFmtId="178" fontId="76" fillId="0" borderId="5" xfId="93" applyNumberFormat="1" applyFont="1" applyBorder="1">
      <alignment vertical="center"/>
    </xf>
    <xf numFmtId="176" fontId="76" fillId="0" borderId="6" xfId="93" applyNumberFormat="1" applyFont="1" applyBorder="1">
      <alignment vertical="center"/>
    </xf>
    <xf numFmtId="178" fontId="76" fillId="0" borderId="7" xfId="93" applyNumberFormat="1" applyFont="1" applyBorder="1">
      <alignment vertical="center"/>
    </xf>
    <xf numFmtId="0" fontId="98" fillId="0" borderId="0" xfId="0" applyFont="1">
      <alignment vertical="center"/>
    </xf>
    <xf numFmtId="179" fontId="92" fillId="0" borderId="0" xfId="93" applyNumberFormat="1" applyFont="1">
      <alignment vertical="center"/>
    </xf>
    <xf numFmtId="180" fontId="92" fillId="0" borderId="5" xfId="93" applyNumberFormat="1" applyFont="1" applyBorder="1">
      <alignment vertical="center"/>
    </xf>
    <xf numFmtId="0" fontId="76" fillId="0" borderId="2" xfId="11" applyFont="1" applyBorder="1" applyAlignment="1">
      <alignment horizontal="center" vertical="center"/>
    </xf>
    <xf numFmtId="0" fontId="76" fillId="0" borderId="4" xfId="93" applyFont="1" applyBorder="1" applyAlignment="1">
      <alignment horizontal="center" vertical="center"/>
    </xf>
    <xf numFmtId="0" fontId="76" fillId="0" borderId="13" xfId="93" applyFont="1" applyBorder="1" applyAlignment="1">
      <alignment horizontal="center" vertical="center"/>
    </xf>
    <xf numFmtId="0" fontId="72" fillId="0" borderId="9" xfId="93" applyFont="1" applyBorder="1">
      <alignment vertical="center"/>
    </xf>
    <xf numFmtId="0" fontId="93" fillId="0" borderId="0" xfId="0" applyFont="1" applyAlignment="1">
      <alignment horizontal="right" vertical="center"/>
    </xf>
    <xf numFmtId="184" fontId="89" fillId="0" borderId="14" xfId="0" applyNumberFormat="1" applyFont="1" applyBorder="1">
      <alignment vertical="center"/>
    </xf>
    <xf numFmtId="184" fontId="89" fillId="0" borderId="11" xfId="0" applyNumberFormat="1" applyFont="1" applyBorder="1">
      <alignment vertical="center"/>
    </xf>
    <xf numFmtId="184" fontId="89" fillId="0" borderId="12" xfId="0" applyNumberFormat="1" applyFont="1" applyBorder="1">
      <alignment vertical="center"/>
    </xf>
    <xf numFmtId="184" fontId="89" fillId="0" borderId="10" xfId="0" applyNumberFormat="1" applyFont="1" applyBorder="1">
      <alignment vertical="center"/>
    </xf>
    <xf numFmtId="186" fontId="91" fillId="0" borderId="0" xfId="0" applyNumberFormat="1" applyFont="1">
      <alignment vertical="center"/>
    </xf>
    <xf numFmtId="185" fontId="100" fillId="0" borderId="0" xfId="0" applyNumberFormat="1" applyFont="1">
      <alignment vertical="center"/>
    </xf>
    <xf numFmtId="0" fontId="93" fillId="0" borderId="0" xfId="0" quotePrefix="1" applyFont="1" applyAlignment="1">
      <alignment horizontal="center" vertical="center"/>
    </xf>
    <xf numFmtId="0" fontId="93" fillId="0" borderId="0" xfId="11" quotePrefix="1" applyFont="1" applyAlignment="1">
      <alignment vertical="center"/>
    </xf>
    <xf numFmtId="0" fontId="72" fillId="0" borderId="8" xfId="0" applyFont="1" applyBorder="1" applyAlignment="1">
      <alignment horizontal="center" vertical="center"/>
    </xf>
    <xf numFmtId="0" fontId="72" fillId="0" borderId="2" xfId="0" applyFont="1" applyBorder="1" applyAlignment="1">
      <alignment horizontal="center" vertical="center"/>
    </xf>
    <xf numFmtId="0" fontId="72" fillId="0" borderId="15" xfId="0" applyFont="1" applyBorder="1" applyAlignment="1">
      <alignment horizontal="center" vertical="center"/>
    </xf>
    <xf numFmtId="0" fontId="72" fillId="0" borderId="3" xfId="0" applyFont="1" applyBorder="1" applyAlignment="1">
      <alignment horizontal="center" vertical="center"/>
    </xf>
    <xf numFmtId="0" fontId="72" fillId="0" borderId="15" xfId="93" applyFont="1" applyBorder="1" applyAlignment="1">
      <alignment horizontal="center" vertical="center"/>
    </xf>
    <xf numFmtId="0" fontId="72" fillId="0" borderId="9" xfId="0" applyFont="1" applyBorder="1" applyAlignment="1">
      <alignment horizontal="center" vertical="center"/>
    </xf>
    <xf numFmtId="0" fontId="72" fillId="0" borderId="13" xfId="0" applyFont="1" applyBorder="1">
      <alignment vertical="center"/>
    </xf>
    <xf numFmtId="0" fontId="72" fillId="0" borderId="6" xfId="93" applyFont="1" applyBorder="1">
      <alignment vertical="center"/>
    </xf>
    <xf numFmtId="0" fontId="72" fillId="0" borderId="7" xfId="93" applyFont="1" applyBorder="1">
      <alignment vertical="center"/>
    </xf>
    <xf numFmtId="0" fontId="72" fillId="0" borderId="6" xfId="93" applyFont="1" applyBorder="1" applyAlignment="1">
      <alignment horizontal="center" vertical="center"/>
    </xf>
    <xf numFmtId="0" fontId="72" fillId="0" borderId="13" xfId="93" applyFont="1" applyBorder="1" applyAlignment="1">
      <alignment horizontal="center" vertical="center"/>
    </xf>
    <xf numFmtId="0" fontId="72" fillId="0" borderId="7" xfId="93" applyFont="1" applyBorder="1" applyAlignment="1">
      <alignment horizontal="center" vertical="center"/>
    </xf>
    <xf numFmtId="0" fontId="97" fillId="0" borderId="2" xfId="0" applyFont="1" applyBorder="1" applyAlignment="1">
      <alignment horizontal="center" vertical="center"/>
    </xf>
    <xf numFmtId="0" fontId="97" fillId="0" borderId="3" xfId="0" applyFont="1" applyBorder="1" applyAlignment="1">
      <alignment horizontal="center" vertical="center"/>
    </xf>
    <xf numFmtId="0" fontId="76" fillId="0" borderId="0" xfId="11" applyFont="1" applyAlignment="1">
      <alignment horizontal="left" vertical="center"/>
    </xf>
    <xf numFmtId="0" fontId="63" fillId="0" borderId="0" xfId="0" quotePrefix="1" applyFont="1">
      <alignment vertical="center"/>
    </xf>
    <xf numFmtId="0" fontId="85" fillId="0" borderId="0" xfId="0" quotePrefix="1" applyFont="1">
      <alignment vertical="center"/>
    </xf>
    <xf numFmtId="0" fontId="85" fillId="0" borderId="8" xfId="0" applyFont="1" applyBorder="1">
      <alignment vertical="center"/>
    </xf>
    <xf numFmtId="0" fontId="85" fillId="0" borderId="8" xfId="0" quotePrefix="1" applyFont="1" applyBorder="1">
      <alignment vertical="center"/>
    </xf>
    <xf numFmtId="0" fontId="85" fillId="0" borderId="9" xfId="0" applyFont="1" applyBorder="1" applyAlignment="1">
      <alignment horizontal="center" vertical="center"/>
    </xf>
    <xf numFmtId="0" fontId="101" fillId="0" borderId="0" xfId="0" applyFont="1" applyAlignment="1">
      <alignment horizontal="center" vertical="center"/>
    </xf>
    <xf numFmtId="0" fontId="63" fillId="0" borderId="8" xfId="0" applyFont="1" applyBorder="1" applyAlignment="1">
      <alignment horizontal="center" vertical="center"/>
    </xf>
    <xf numFmtId="0" fontId="63" fillId="0" borderId="9" xfId="0" applyFont="1" applyBorder="1">
      <alignment vertical="center"/>
    </xf>
    <xf numFmtId="2" fontId="102" fillId="3" borderId="10" xfId="0" applyNumberFormat="1" applyFont="1" applyFill="1" applyBorder="1" applyAlignment="1">
      <alignment horizontal="center" vertical="center"/>
    </xf>
    <xf numFmtId="176" fontId="43" fillId="4" borderId="9" xfId="0" applyNumberFormat="1" applyFont="1" applyFill="1" applyBorder="1">
      <alignment vertical="center"/>
    </xf>
    <xf numFmtId="0" fontId="17" fillId="0" borderId="11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63" fillId="0" borderId="0" xfId="0" applyFont="1" applyAlignment="1">
      <alignment horizontal="right" vertical="center"/>
    </xf>
    <xf numFmtId="0" fontId="63" fillId="0" borderId="0" xfId="0" applyFont="1" applyAlignment="1">
      <alignment horizontal="left" vertical="center"/>
    </xf>
    <xf numFmtId="0" fontId="63" fillId="0" borderId="0" xfId="0" applyFont="1" applyBorder="1" applyAlignment="1">
      <alignment horizontal="center" vertical="center"/>
    </xf>
    <xf numFmtId="0" fontId="52" fillId="0" borderId="0" xfId="0" quotePrefix="1" applyFont="1" applyBorder="1" applyAlignment="1">
      <alignment horizontal="center" vertical="center"/>
    </xf>
    <xf numFmtId="2" fontId="65" fillId="0" borderId="0" xfId="0" applyNumberFormat="1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57" fillId="0" borderId="0" xfId="0" applyFont="1" applyBorder="1" applyAlignment="1">
      <alignment horizontal="center" vertical="center"/>
    </xf>
    <xf numFmtId="0" fontId="65" fillId="0" borderId="10" xfId="0" applyFont="1" applyBorder="1">
      <alignment vertical="center"/>
    </xf>
    <xf numFmtId="177" fontId="102" fillId="3" borderId="10" xfId="0" applyNumberFormat="1" applyFont="1" applyFill="1" applyBorder="1" applyAlignment="1">
      <alignment horizontal="center" vertical="center"/>
    </xf>
    <xf numFmtId="0" fontId="85" fillId="0" borderId="0" xfId="0" applyFont="1" applyAlignment="1">
      <alignment horizontal="right" vertical="center"/>
    </xf>
    <xf numFmtId="2" fontId="65" fillId="3" borderId="10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left" vertical="center"/>
    </xf>
    <xf numFmtId="0" fontId="34" fillId="0" borderId="9" xfId="0" applyFont="1" applyBorder="1">
      <alignment vertical="center"/>
    </xf>
    <xf numFmtId="2" fontId="33" fillId="5" borderId="10" xfId="0" applyNumberFormat="1" applyFont="1" applyFill="1" applyBorder="1">
      <alignment vertical="center"/>
    </xf>
    <xf numFmtId="177" fontId="102" fillId="5" borderId="10" xfId="0" applyNumberFormat="1" applyFont="1" applyFill="1" applyBorder="1" applyAlignment="1">
      <alignment horizontal="center" vertical="center"/>
    </xf>
    <xf numFmtId="0" fontId="68" fillId="0" borderId="8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85" fillId="0" borderId="8" xfId="0" applyFont="1" applyBorder="1" applyAlignment="1">
      <alignment horizontal="center" vertical="center"/>
    </xf>
    <xf numFmtId="0" fontId="85" fillId="0" borderId="9" xfId="0" applyFont="1" applyBorder="1">
      <alignment vertical="center"/>
    </xf>
    <xf numFmtId="0" fontId="59" fillId="0" borderId="9" xfId="0" applyFont="1" applyBorder="1" applyAlignment="1">
      <alignment horizontal="center" vertical="center"/>
    </xf>
  </cellXfs>
  <cellStyles count="95">
    <cellStyle name="Normal_calc" xfId="1" xr:uid="{00000000-0005-0000-0000-000000000000}"/>
    <cellStyle name="パーセント" xfId="92" builtinId="5"/>
    <cellStyle name="パーセント 2" xfId="13" xr:uid="{00000000-0005-0000-0000-000002000000}"/>
    <cellStyle name="桁区切り 2" xfId="9" xr:uid="{00000000-0005-0000-0000-000003000000}"/>
    <cellStyle name="桁区切り 2 2" xfId="22" xr:uid="{00000000-0005-0000-0000-000004000000}"/>
    <cellStyle name="桁区切り 2 2 2" xfId="45" xr:uid="{00000000-0005-0000-0000-000005000000}"/>
    <cellStyle name="桁区切り 2 2 3" xfId="53" xr:uid="{00000000-0005-0000-0000-000006000000}"/>
    <cellStyle name="桁区切り 2 2 4" xfId="54" xr:uid="{00000000-0005-0000-0000-000007000000}"/>
    <cellStyle name="桁区切り 2 3" xfId="24" xr:uid="{00000000-0005-0000-0000-000008000000}"/>
    <cellStyle name="桁区切り 2 4" xfId="28" xr:uid="{00000000-0005-0000-0000-000009000000}"/>
    <cellStyle name="桁区切り 2 5" xfId="39" xr:uid="{00000000-0005-0000-0000-00000A000000}"/>
    <cellStyle name="桁区切り 2 6" xfId="55" xr:uid="{00000000-0005-0000-0000-00000B000000}"/>
    <cellStyle name="桁区切り 2 7" xfId="56" xr:uid="{00000000-0005-0000-0000-00000C000000}"/>
    <cellStyle name="標準" xfId="0" builtinId="0"/>
    <cellStyle name="標準 10" xfId="16" xr:uid="{00000000-0005-0000-0000-00000E000000}"/>
    <cellStyle name="標準 2" xfId="2" xr:uid="{00000000-0005-0000-0000-00000F000000}"/>
    <cellStyle name="標準 2 2" xfId="14" xr:uid="{00000000-0005-0000-0000-000010000000}"/>
    <cellStyle name="標準 2 3" xfId="29" xr:uid="{00000000-0005-0000-0000-000011000000}"/>
    <cellStyle name="標準 2 3 2" xfId="49" xr:uid="{00000000-0005-0000-0000-000012000000}"/>
    <cellStyle name="標準 2 3 3" xfId="57" xr:uid="{00000000-0005-0000-0000-000013000000}"/>
    <cellStyle name="標準 2 3 4" xfId="58" xr:uid="{00000000-0005-0000-0000-000014000000}"/>
    <cellStyle name="標準 3" xfId="3" xr:uid="{00000000-0005-0000-0000-000015000000}"/>
    <cellStyle name="標準 3 2" xfId="12" xr:uid="{00000000-0005-0000-0000-000016000000}"/>
    <cellStyle name="標準 3 2 2" xfId="17" xr:uid="{00000000-0005-0000-0000-000017000000}"/>
    <cellStyle name="標準 3 2 3" xfId="40" xr:uid="{00000000-0005-0000-0000-000018000000}"/>
    <cellStyle name="標準 3 2 4" xfId="59" xr:uid="{00000000-0005-0000-0000-000019000000}"/>
    <cellStyle name="標準 3 2 5" xfId="60" xr:uid="{00000000-0005-0000-0000-00001A000000}"/>
    <cellStyle name="標準 3 2 6" xfId="87" xr:uid="{00000000-0005-0000-0000-00001B000000}"/>
    <cellStyle name="標準 3 2 7" xfId="89" xr:uid="{00000000-0005-0000-0000-00001C000000}"/>
    <cellStyle name="標準 3 2 7 2" xfId="94" xr:uid="{CEF7AA1F-9792-4410-B742-61CBC752F6B8}"/>
    <cellStyle name="標準 3 2 8" xfId="90" xr:uid="{00000000-0005-0000-0000-00001D000000}"/>
    <cellStyle name="標準 3 3" xfId="15" xr:uid="{00000000-0005-0000-0000-00001E000000}"/>
    <cellStyle name="標準 3 3 2" xfId="41" xr:uid="{00000000-0005-0000-0000-00001F000000}"/>
    <cellStyle name="標準 3 3 3" xfId="61" xr:uid="{00000000-0005-0000-0000-000020000000}"/>
    <cellStyle name="標準 3 3 4" xfId="62" xr:uid="{00000000-0005-0000-0000-000021000000}"/>
    <cellStyle name="標準 3 3 5" xfId="88" xr:uid="{00000000-0005-0000-0000-000022000000}"/>
    <cellStyle name="標準 3 3 6" xfId="91" xr:uid="{00000000-0005-0000-0000-000023000000}"/>
    <cellStyle name="標準 3 4" xfId="18" xr:uid="{00000000-0005-0000-0000-000024000000}"/>
    <cellStyle name="標準 3 5" xfId="30" xr:uid="{00000000-0005-0000-0000-000025000000}"/>
    <cellStyle name="標準 3 5 2" xfId="50" xr:uid="{00000000-0005-0000-0000-000026000000}"/>
    <cellStyle name="標準 3 5 3" xfId="63" xr:uid="{00000000-0005-0000-0000-000027000000}"/>
    <cellStyle name="標準 3 5 4" xfId="64" xr:uid="{00000000-0005-0000-0000-000028000000}"/>
    <cellStyle name="標準 4" xfId="4" xr:uid="{00000000-0005-0000-0000-000029000000}"/>
    <cellStyle name="標準 4 2" xfId="31" xr:uid="{00000000-0005-0000-0000-00002A000000}"/>
    <cellStyle name="標準 4 2 2" xfId="51" xr:uid="{00000000-0005-0000-0000-00002B000000}"/>
    <cellStyle name="標準 4 2 3" xfId="65" xr:uid="{00000000-0005-0000-0000-00002C000000}"/>
    <cellStyle name="標準 4 2 4" xfId="66" xr:uid="{00000000-0005-0000-0000-00002D000000}"/>
    <cellStyle name="標準 5" xfId="5" xr:uid="{00000000-0005-0000-0000-00002E000000}"/>
    <cellStyle name="標準 5 2" xfId="10" xr:uid="{00000000-0005-0000-0000-00002F000000}"/>
    <cellStyle name="標準 5 2 2" xfId="93" xr:uid="{BDD3BE95-EBDB-46BA-90E1-F8EB2640CE48}"/>
    <cellStyle name="標準 5 3" xfId="23" xr:uid="{00000000-0005-0000-0000-000030000000}"/>
    <cellStyle name="標準 5 4" xfId="32" xr:uid="{00000000-0005-0000-0000-000031000000}"/>
    <cellStyle name="標準 5 4 2" xfId="52" xr:uid="{00000000-0005-0000-0000-000032000000}"/>
    <cellStyle name="標準 5 4 3" xfId="67" xr:uid="{00000000-0005-0000-0000-000033000000}"/>
    <cellStyle name="標準 5 4 4" xfId="68" xr:uid="{00000000-0005-0000-0000-000034000000}"/>
    <cellStyle name="標準 6" xfId="7" xr:uid="{00000000-0005-0000-0000-000035000000}"/>
    <cellStyle name="標準 6 2" xfId="20" xr:uid="{00000000-0005-0000-0000-000036000000}"/>
    <cellStyle name="標準 6 2 2" xfId="43" xr:uid="{00000000-0005-0000-0000-000037000000}"/>
    <cellStyle name="標準 6 2 3" xfId="69" xr:uid="{00000000-0005-0000-0000-000038000000}"/>
    <cellStyle name="標準 6 2 4" xfId="70" xr:uid="{00000000-0005-0000-0000-000039000000}"/>
    <cellStyle name="標準 6 3" xfId="25" xr:uid="{00000000-0005-0000-0000-00003A000000}"/>
    <cellStyle name="標準 6 3 2" xfId="46" xr:uid="{00000000-0005-0000-0000-00003B000000}"/>
    <cellStyle name="標準 6 3 3" xfId="71" xr:uid="{00000000-0005-0000-0000-00003C000000}"/>
    <cellStyle name="標準 6 3 4" xfId="72" xr:uid="{00000000-0005-0000-0000-00003D000000}"/>
    <cellStyle name="標準 6 4" xfId="33" xr:uid="{00000000-0005-0000-0000-00003E000000}"/>
    <cellStyle name="標準 6 5" xfId="37" xr:uid="{00000000-0005-0000-0000-00003F000000}"/>
    <cellStyle name="標準 6 6" xfId="73" xr:uid="{00000000-0005-0000-0000-000040000000}"/>
    <cellStyle name="標準 6 7" xfId="74" xr:uid="{00000000-0005-0000-0000-000041000000}"/>
    <cellStyle name="標準 7" xfId="6" xr:uid="{00000000-0005-0000-0000-000042000000}"/>
    <cellStyle name="標準 7 2" xfId="19" xr:uid="{00000000-0005-0000-0000-000043000000}"/>
    <cellStyle name="標準 7 2 2" xfId="42" xr:uid="{00000000-0005-0000-0000-000044000000}"/>
    <cellStyle name="標準 7 2 3" xfId="75" xr:uid="{00000000-0005-0000-0000-000045000000}"/>
    <cellStyle name="標準 7 2 4" xfId="76" xr:uid="{00000000-0005-0000-0000-000046000000}"/>
    <cellStyle name="標準 7 3" xfId="26" xr:uid="{00000000-0005-0000-0000-000047000000}"/>
    <cellStyle name="標準 7 3 2" xfId="47" xr:uid="{00000000-0005-0000-0000-000048000000}"/>
    <cellStyle name="標準 7 3 3" xfId="77" xr:uid="{00000000-0005-0000-0000-000049000000}"/>
    <cellStyle name="標準 7 3 4" xfId="78" xr:uid="{00000000-0005-0000-0000-00004A000000}"/>
    <cellStyle name="標準 7 4" xfId="34" xr:uid="{00000000-0005-0000-0000-00004B000000}"/>
    <cellStyle name="標準 7 5" xfId="36" xr:uid="{00000000-0005-0000-0000-00004C000000}"/>
    <cellStyle name="標準 7 6" xfId="79" xr:uid="{00000000-0005-0000-0000-00004D000000}"/>
    <cellStyle name="標準 7 7" xfId="80" xr:uid="{00000000-0005-0000-0000-00004E000000}"/>
    <cellStyle name="標準 8" xfId="8" xr:uid="{00000000-0005-0000-0000-00004F000000}"/>
    <cellStyle name="標準 8 2" xfId="21" xr:uid="{00000000-0005-0000-0000-000050000000}"/>
    <cellStyle name="標準 8 2 2" xfId="44" xr:uid="{00000000-0005-0000-0000-000051000000}"/>
    <cellStyle name="標準 8 2 3" xfId="81" xr:uid="{00000000-0005-0000-0000-000052000000}"/>
    <cellStyle name="標準 8 2 4" xfId="82" xr:uid="{00000000-0005-0000-0000-000053000000}"/>
    <cellStyle name="標準 8 3" xfId="27" xr:uid="{00000000-0005-0000-0000-000054000000}"/>
    <cellStyle name="標準 8 3 2" xfId="48" xr:uid="{00000000-0005-0000-0000-000055000000}"/>
    <cellStyle name="標準 8 3 3" xfId="83" xr:uid="{00000000-0005-0000-0000-000056000000}"/>
    <cellStyle name="標準 8 3 4" xfId="84" xr:uid="{00000000-0005-0000-0000-000057000000}"/>
    <cellStyle name="標準 8 4" xfId="35" xr:uid="{00000000-0005-0000-0000-000058000000}"/>
    <cellStyle name="標準 8 5" xfId="38" xr:uid="{00000000-0005-0000-0000-000059000000}"/>
    <cellStyle name="標準 8 6" xfId="85" xr:uid="{00000000-0005-0000-0000-00005A000000}"/>
    <cellStyle name="標準 8 7" xfId="86" xr:uid="{00000000-0005-0000-0000-00005B000000}"/>
    <cellStyle name="標準 9" xfId="11" xr:uid="{00000000-0005-0000-0000-00005C000000}"/>
  </cellStyles>
  <dxfs count="0"/>
  <tableStyles count="0" defaultTableStyle="TableStyleMedium9" defaultPivotStyle="PivotStyleLight16"/>
  <colors>
    <mruColors>
      <color rgb="FF0000FF"/>
      <color rgb="FFFFCCFF"/>
      <color rgb="FF009900"/>
      <color rgb="FFFFFFCC"/>
      <color rgb="FF006600"/>
      <color rgb="FFCCFFCC"/>
      <color rgb="FF00CC00"/>
      <color rgb="FFFF00FF"/>
      <color rgb="FF9900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'eg03'!$C$7</c:f>
          <c:strCache>
            <c:ptCount val="1"/>
            <c:pt idx="0">
              <c:v>srim84Kr_Air</c:v>
            </c:pt>
          </c:strCache>
        </c:strRef>
      </c:tx>
      <c:layout>
        <c:manualLayout>
          <c:xMode val="edge"/>
          <c:yMode val="edge"/>
          <c:x val="0.26341909722222223"/>
          <c:y val="6.7665972222222218E-2"/>
        </c:manualLayout>
      </c:layout>
      <c:overlay val="1"/>
      <c:spPr>
        <a:solidFill>
          <a:schemeClr val="bg1"/>
        </a:solidFill>
        <a:ln>
          <a:solidFill>
            <a:srgbClr val="00B050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4807828282828276E-2"/>
          <c:y val="6.6635802469135808E-2"/>
          <c:w val="0.87978611111111116"/>
          <c:h val="0.84246180555555561"/>
        </c:manualLayout>
      </c:layout>
      <c:scatterChart>
        <c:scatterStyle val="lineMarker"/>
        <c:varyColors val="0"/>
        <c:ser>
          <c:idx val="3"/>
          <c:order val="0"/>
          <c:tx>
            <c:v>dE/dxElec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'eg03'!$B$41:$B$90</c:f>
              <c:numCache>
                <c:formatCode>0.00_);[Red]\(0.00\)</c:formatCode>
                <c:ptCount val="5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</c:numCache>
            </c:numRef>
          </c:xVal>
          <c:yVal>
            <c:numRef>
              <c:f>'eg03'!$C$41:$C$90</c:f>
              <c:numCache>
                <c:formatCode>0.000.E+00</c:formatCode>
                <c:ptCount val="50"/>
                <c:pt idx="0">
                  <c:v>35.841999999999999</c:v>
                </c:pt>
                <c:pt idx="1">
                  <c:v>34.327599999999997</c:v>
                </c:pt>
                <c:pt idx="2">
                  <c:v>32.856400000000001</c:v>
                </c:pt>
                <c:pt idx="3">
                  <c:v>31.453600000000002</c:v>
                </c:pt>
                <c:pt idx="4">
                  <c:v>30.126799999999999</c:v>
                </c:pt>
                <c:pt idx="5">
                  <c:v>28.880000000000003</c:v>
                </c:pt>
                <c:pt idx="6">
                  <c:v>27.7148</c:v>
                </c:pt>
                <c:pt idx="7">
                  <c:v>26.628399999999999</c:v>
                </c:pt>
                <c:pt idx="8">
                  <c:v>25.616800000000001</c:v>
                </c:pt>
                <c:pt idx="9">
                  <c:v>24.6844</c:v>
                </c:pt>
                <c:pt idx="10">
                  <c:v>23.84</c:v>
                </c:pt>
                <c:pt idx="11">
                  <c:v>23.063999999999997</c:v>
                </c:pt>
                <c:pt idx="12">
                  <c:v>22.38</c:v>
                </c:pt>
                <c:pt idx="13">
                  <c:v>21.75</c:v>
                </c:pt>
                <c:pt idx="14">
                  <c:v>21.149759999999997</c:v>
                </c:pt>
                <c:pt idx="15">
                  <c:v>20.675999999999998</c:v>
                </c:pt>
                <c:pt idx="16">
                  <c:v>20.20224</c:v>
                </c:pt>
                <c:pt idx="17">
                  <c:v>19.761599999999998</c:v>
                </c:pt>
                <c:pt idx="18">
                  <c:v>19.442399999999999</c:v>
                </c:pt>
                <c:pt idx="19">
                  <c:v>19.123200000000001</c:v>
                </c:pt>
                <c:pt idx="20">
                  <c:v>18.790399999999998</c:v>
                </c:pt>
                <c:pt idx="21">
                  <c:v>18.414080000000002</c:v>
                </c:pt>
                <c:pt idx="22">
                  <c:v>18.037760000000002</c:v>
                </c:pt>
                <c:pt idx="23">
                  <c:v>17.670240000000003</c:v>
                </c:pt>
                <c:pt idx="24">
                  <c:v>17.32752</c:v>
                </c:pt>
                <c:pt idx="25">
                  <c:v>16.9848</c:v>
                </c:pt>
                <c:pt idx="26">
                  <c:v>16.653599999999997</c:v>
                </c:pt>
                <c:pt idx="27">
                  <c:v>16.351199999999999</c:v>
                </c:pt>
                <c:pt idx="28">
                  <c:v>16.0488</c:v>
                </c:pt>
                <c:pt idx="29">
                  <c:v>15.75784</c:v>
                </c:pt>
                <c:pt idx="30">
                  <c:v>15.4924</c:v>
                </c:pt>
                <c:pt idx="31">
                  <c:v>15.22696</c:v>
                </c:pt>
                <c:pt idx="32">
                  <c:v>14.9716</c:v>
                </c:pt>
                <c:pt idx="33">
                  <c:v>14.7364</c:v>
                </c:pt>
                <c:pt idx="34">
                  <c:v>14.501200000000001</c:v>
                </c:pt>
                <c:pt idx="35">
                  <c:v>14.273200000000001</c:v>
                </c:pt>
                <c:pt idx="36">
                  <c:v>14.058160000000001</c:v>
                </c:pt>
                <c:pt idx="37">
                  <c:v>13.843120000000001</c:v>
                </c:pt>
                <c:pt idx="38">
                  <c:v>13.64024</c:v>
                </c:pt>
                <c:pt idx="39">
                  <c:v>13.45712</c:v>
                </c:pt>
                <c:pt idx="40">
                  <c:v>13.274000000000001</c:v>
                </c:pt>
                <c:pt idx="41">
                  <c:v>13.09088</c:v>
                </c:pt>
                <c:pt idx="42">
                  <c:v>12.90776</c:v>
                </c:pt>
                <c:pt idx="43">
                  <c:v>12.724639999999999</c:v>
                </c:pt>
                <c:pt idx="44">
                  <c:v>12.555199999999999</c:v>
                </c:pt>
                <c:pt idx="45">
                  <c:v>12.404</c:v>
                </c:pt>
                <c:pt idx="46">
                  <c:v>12.252800000000001</c:v>
                </c:pt>
                <c:pt idx="47">
                  <c:v>12.101599999999999</c:v>
                </c:pt>
                <c:pt idx="48">
                  <c:v>11.9504</c:v>
                </c:pt>
                <c:pt idx="49">
                  <c:v>11.799200000000001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F7-4315-9858-D8C5B723DAF6}"/>
            </c:ext>
          </c:extLst>
        </c:ser>
        <c:ser>
          <c:idx val="4"/>
          <c:order val="1"/>
          <c:tx>
            <c:v>dE/dxNucl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'eg03'!$B$41:$B$90</c:f>
              <c:numCache>
                <c:formatCode>0.00_);[Red]\(0.00\)</c:formatCode>
                <c:ptCount val="5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</c:numCache>
            </c:numRef>
          </c:xVal>
          <c:yVal>
            <c:numRef>
              <c:f>'eg03'!$D$41:$D$90</c:f>
              <c:numCache>
                <c:formatCode>0.000.E+00</c:formatCode>
                <c:ptCount val="50"/>
                <c:pt idx="0">
                  <c:v>2.1333999999999999E-2</c:v>
                </c:pt>
                <c:pt idx="1">
                  <c:v>1.95952E-2</c:v>
                </c:pt>
                <c:pt idx="2">
                  <c:v>1.81324E-2</c:v>
                </c:pt>
                <c:pt idx="3">
                  <c:v>1.6897599999999999E-2</c:v>
                </c:pt>
                <c:pt idx="4">
                  <c:v>1.583E-2</c:v>
                </c:pt>
                <c:pt idx="5">
                  <c:v>1.4894000000000001E-2</c:v>
                </c:pt>
                <c:pt idx="6">
                  <c:v>1.40652E-2</c:v>
                </c:pt>
                <c:pt idx="7">
                  <c:v>1.3325999999999999E-2</c:v>
                </c:pt>
                <c:pt idx="8">
                  <c:v>1.26648E-2</c:v>
                </c:pt>
                <c:pt idx="9">
                  <c:v>1.20684E-2</c:v>
                </c:pt>
                <c:pt idx="10">
                  <c:v>1.1528E-2</c:v>
                </c:pt>
                <c:pt idx="11">
                  <c:v>1.10416E-2</c:v>
                </c:pt>
                <c:pt idx="12">
                  <c:v>1.060672E-2</c:v>
                </c:pt>
                <c:pt idx="13">
                  <c:v>1.0198479999999999E-2</c:v>
                </c:pt>
                <c:pt idx="14">
                  <c:v>9.8050240000000007E-3</c:v>
                </c:pt>
                <c:pt idx="15">
                  <c:v>9.4743999999999991E-3</c:v>
                </c:pt>
                <c:pt idx="16">
                  <c:v>9.1437759999999993E-3</c:v>
                </c:pt>
                <c:pt idx="17">
                  <c:v>8.8265439999999987E-3</c:v>
                </c:pt>
                <c:pt idx="18">
                  <c:v>8.5584159999999992E-3</c:v>
                </c:pt>
                <c:pt idx="19">
                  <c:v>8.2902879999999998E-3</c:v>
                </c:pt>
                <c:pt idx="20">
                  <c:v>8.0331199999999995E-3</c:v>
                </c:pt>
                <c:pt idx="21">
                  <c:v>7.8110239999999997E-3</c:v>
                </c:pt>
                <c:pt idx="22">
                  <c:v>7.5889280000000009E-3</c:v>
                </c:pt>
                <c:pt idx="23">
                  <c:v>7.3759840000000004E-3</c:v>
                </c:pt>
                <c:pt idx="24">
                  <c:v>7.188832E-3</c:v>
                </c:pt>
                <c:pt idx="25">
                  <c:v>7.0016800000000006E-3</c:v>
                </c:pt>
                <c:pt idx="26">
                  <c:v>6.8224000000000002E-3</c:v>
                </c:pt>
                <c:pt idx="27">
                  <c:v>6.6628E-3</c:v>
                </c:pt>
                <c:pt idx="28">
                  <c:v>6.5031999999999998E-3</c:v>
                </c:pt>
                <c:pt idx="29">
                  <c:v>6.3501520000000004E-3</c:v>
                </c:pt>
                <c:pt idx="30">
                  <c:v>6.2117200000000004E-3</c:v>
                </c:pt>
                <c:pt idx="31">
                  <c:v>6.0732879999999996E-3</c:v>
                </c:pt>
                <c:pt idx="32">
                  <c:v>5.9407920000000003E-3</c:v>
                </c:pt>
                <c:pt idx="33">
                  <c:v>5.8201680000000006E-3</c:v>
                </c:pt>
                <c:pt idx="34">
                  <c:v>5.6995440000000008E-3</c:v>
                </c:pt>
                <c:pt idx="35">
                  <c:v>5.5839600000000007E-3</c:v>
                </c:pt>
                <c:pt idx="36">
                  <c:v>5.4774480000000002E-3</c:v>
                </c:pt>
                <c:pt idx="37">
                  <c:v>5.3709359999999998E-3</c:v>
                </c:pt>
                <c:pt idx="38">
                  <c:v>5.2708879999999996E-3</c:v>
                </c:pt>
                <c:pt idx="39">
                  <c:v>5.1813440000000001E-3</c:v>
                </c:pt>
                <c:pt idx="40">
                  <c:v>5.0917999999999996E-3</c:v>
                </c:pt>
                <c:pt idx="41">
                  <c:v>5.0022560000000001E-3</c:v>
                </c:pt>
                <c:pt idx="42">
                  <c:v>4.9127119999999996E-3</c:v>
                </c:pt>
                <c:pt idx="43">
                  <c:v>4.8231680000000001E-3</c:v>
                </c:pt>
                <c:pt idx="44">
                  <c:v>4.7408959999999997E-3</c:v>
                </c:pt>
                <c:pt idx="45">
                  <c:v>4.6683200000000001E-3</c:v>
                </c:pt>
                <c:pt idx="46">
                  <c:v>4.5957439999999997E-3</c:v>
                </c:pt>
                <c:pt idx="47">
                  <c:v>4.5231680000000002E-3</c:v>
                </c:pt>
                <c:pt idx="48">
                  <c:v>4.4505919999999997E-3</c:v>
                </c:pt>
                <c:pt idx="49">
                  <c:v>4.3780160000000002E-3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F7-4315-9858-D8C5B723DAF6}"/>
            </c:ext>
          </c:extLst>
        </c:ser>
        <c:ser>
          <c:idx val="5"/>
          <c:order val="2"/>
          <c:tx>
            <c:v>dE/dxTot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3"/>
            <c:spPr>
              <a:solidFill>
                <a:srgbClr val="006600"/>
              </a:solidFill>
              <a:ln>
                <a:noFill/>
              </a:ln>
            </c:spPr>
          </c:marker>
          <c:xVal>
            <c:numRef>
              <c:f>'eg03'!$B$41:$B$90</c:f>
              <c:numCache>
                <c:formatCode>0.00_);[Red]\(0.00\)</c:formatCode>
                <c:ptCount val="5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</c:numCache>
            </c:numRef>
          </c:xVal>
          <c:yVal>
            <c:numRef>
              <c:f>'eg03'!$E$41:$E$90</c:f>
              <c:numCache>
                <c:formatCode>0.000.E+00</c:formatCode>
                <c:ptCount val="50"/>
                <c:pt idx="0">
                  <c:v>35.863334000000002</c:v>
                </c:pt>
                <c:pt idx="1">
                  <c:v>34.347195200000002</c:v>
                </c:pt>
                <c:pt idx="2">
                  <c:v>32.874532400000007</c:v>
                </c:pt>
                <c:pt idx="3">
                  <c:v>31.470497600000002</c:v>
                </c:pt>
                <c:pt idx="4">
                  <c:v>30.14263</c:v>
                </c:pt>
                <c:pt idx="5">
                  <c:v>28.894894000000001</c:v>
                </c:pt>
                <c:pt idx="6">
                  <c:v>27.728865199999998</c:v>
                </c:pt>
                <c:pt idx="7">
                  <c:v>26.641725999999998</c:v>
                </c:pt>
                <c:pt idx="8">
                  <c:v>25.629464800000001</c:v>
                </c:pt>
                <c:pt idx="9">
                  <c:v>24.696468400000001</c:v>
                </c:pt>
                <c:pt idx="10">
                  <c:v>23.851527999999998</c:v>
                </c:pt>
                <c:pt idx="11">
                  <c:v>23.075041599999999</c:v>
                </c:pt>
                <c:pt idx="12">
                  <c:v>22.390606720000001</c:v>
                </c:pt>
                <c:pt idx="13">
                  <c:v>21.76019848</c:v>
                </c:pt>
                <c:pt idx="14">
                  <c:v>21.159565023999999</c:v>
                </c:pt>
                <c:pt idx="15">
                  <c:v>20.685474399999997</c:v>
                </c:pt>
                <c:pt idx="16">
                  <c:v>20.211383775999998</c:v>
                </c:pt>
                <c:pt idx="17">
                  <c:v>19.770426543999996</c:v>
                </c:pt>
                <c:pt idx="18">
                  <c:v>19.450958415999995</c:v>
                </c:pt>
                <c:pt idx="19">
                  <c:v>19.131490287999998</c:v>
                </c:pt>
                <c:pt idx="20">
                  <c:v>18.798433119999999</c:v>
                </c:pt>
                <c:pt idx="21">
                  <c:v>18.421891024000001</c:v>
                </c:pt>
                <c:pt idx="22">
                  <c:v>18.045348928000003</c:v>
                </c:pt>
                <c:pt idx="23">
                  <c:v>17.677615984000003</c:v>
                </c:pt>
                <c:pt idx="24">
                  <c:v>17.334708832</c:v>
                </c:pt>
                <c:pt idx="25">
                  <c:v>16.991801680000002</c:v>
                </c:pt>
                <c:pt idx="26">
                  <c:v>16.660422399999998</c:v>
                </c:pt>
                <c:pt idx="27">
                  <c:v>16.357862799999999</c:v>
                </c:pt>
                <c:pt idx="28">
                  <c:v>16.055303199999997</c:v>
                </c:pt>
                <c:pt idx="29">
                  <c:v>15.764190151999999</c:v>
                </c:pt>
                <c:pt idx="30">
                  <c:v>15.49861172</c:v>
                </c:pt>
                <c:pt idx="31">
                  <c:v>15.233033288</c:v>
                </c:pt>
                <c:pt idx="32">
                  <c:v>14.977540792000001</c:v>
                </c:pt>
                <c:pt idx="33">
                  <c:v>14.742220168000001</c:v>
                </c:pt>
                <c:pt idx="34">
                  <c:v>14.506899544000001</c:v>
                </c:pt>
                <c:pt idx="35">
                  <c:v>14.27878396</c:v>
                </c:pt>
                <c:pt idx="36">
                  <c:v>14.063637448000001</c:v>
                </c:pt>
                <c:pt idx="37">
                  <c:v>13.848490936000001</c:v>
                </c:pt>
                <c:pt idx="38">
                  <c:v>13.645510888</c:v>
                </c:pt>
                <c:pt idx="39">
                  <c:v>13.462301344</c:v>
                </c:pt>
                <c:pt idx="40">
                  <c:v>13.2790918</c:v>
                </c:pt>
                <c:pt idx="41">
                  <c:v>13.095882255999999</c:v>
                </c:pt>
                <c:pt idx="42">
                  <c:v>12.912672712000001</c:v>
                </c:pt>
                <c:pt idx="43">
                  <c:v>12.729463168000001</c:v>
                </c:pt>
                <c:pt idx="44">
                  <c:v>12.559940896000001</c:v>
                </c:pt>
                <c:pt idx="45">
                  <c:v>12.40866832</c:v>
                </c:pt>
                <c:pt idx="46">
                  <c:v>12.257395744</c:v>
                </c:pt>
                <c:pt idx="47">
                  <c:v>12.106123168</c:v>
                </c:pt>
                <c:pt idx="48">
                  <c:v>11.954850592</c:v>
                </c:pt>
                <c:pt idx="49">
                  <c:v>11.803578015999999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F7-4315-9858-D8C5B723D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526776"/>
        <c:axId val="682530696"/>
      </c:scatterChart>
      <c:valAx>
        <c:axId val="6825267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</c:majorGridlines>
        <c:minorGridlines>
          <c:spPr>
            <a:ln>
              <a:solidFill>
                <a:srgbClr val="CCECFF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</a:t>
                </a:r>
                <a:r>
                  <a:rPr lang="en-US" baseline="0"/>
                  <a:t> beam</a:t>
                </a:r>
                <a:r>
                  <a:rPr lang="en-US"/>
                  <a:t> [MeV/A]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7090883838383838"/>
              <c:y val="0.83243055555555556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cross"/>
        <c:minorTickMark val="in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682530696"/>
        <c:crosses val="autoZero"/>
        <c:crossBetween val="midCat"/>
      </c:valAx>
      <c:valAx>
        <c:axId val="682530696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chemeClr val="tx2"/>
              </a:solidFill>
              <a:prstDash val="sysDash"/>
            </a:ln>
          </c:spPr>
        </c:majorGridlines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 altLang="ja-JP">
                    <a:solidFill>
                      <a:schemeClr val="tx1"/>
                    </a:solidFill>
                  </a:rPr>
                  <a:t>dE/dX</a:t>
                </a:r>
                <a:r>
                  <a:rPr lang="en-US" altLang="ja-JP" baseline="0">
                    <a:solidFill>
                      <a:schemeClr val="tx1"/>
                    </a:solidFill>
                  </a:rPr>
                  <a:t> [MeV/(mg/cm2)]</a:t>
                </a:r>
                <a:endParaRPr lang="ja-JP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9.7597222222222224E-2"/>
              <c:y val="8.4881250000000005E-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cross"/>
        <c:minorTickMark val="out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b="1">
                <a:solidFill>
                  <a:schemeClr val="tx1"/>
                </a:solidFill>
              </a:defRPr>
            </a:pPr>
            <a:endParaRPr lang="ja-JP"/>
          </a:p>
        </c:txPr>
        <c:crossAx val="682526776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3317812500000006"/>
          <c:y val="0.19922291666666667"/>
          <c:w val="0.36947986111111109"/>
          <c:h val="0.15493819682796106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  <c:showDLblsOverMax val="0"/>
  </c:chart>
  <c:spPr>
    <a:solidFill>
      <a:schemeClr val="bg1"/>
    </a:solidFill>
    <a:ln w="3175">
      <a:noFill/>
    </a:ln>
  </c:spPr>
  <c:txPr>
    <a:bodyPr/>
    <a:lstStyle/>
    <a:p>
      <a:pPr>
        <a:defRPr baseline="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'eg03'!$C$7</c:f>
          <c:strCache>
            <c:ptCount val="1"/>
            <c:pt idx="0">
              <c:v>srim84Kr_Air</c:v>
            </c:pt>
          </c:strCache>
        </c:strRef>
      </c:tx>
      <c:layout>
        <c:manualLayout>
          <c:xMode val="edge"/>
          <c:yMode val="edge"/>
          <c:x val="0.22819340277777775"/>
          <c:y val="7.5764583333333343E-2"/>
        </c:manualLayout>
      </c:layout>
      <c:overlay val="1"/>
      <c:spPr>
        <a:solidFill>
          <a:schemeClr val="bg1"/>
        </a:solidFill>
        <a:ln>
          <a:solidFill>
            <a:srgbClr val="00B050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03313492063492"/>
          <c:y val="4.9333333333333333E-2"/>
          <c:w val="0.80958829365079354"/>
          <c:h val="0.86402048611111115"/>
        </c:manualLayout>
      </c:layout>
      <c:scatterChart>
        <c:scatterStyle val="lineMarker"/>
        <c:varyColors val="0"/>
        <c:ser>
          <c:idx val="0"/>
          <c:order val="0"/>
          <c:tx>
            <c:v>Range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'eg03'!$B$41:$B$90</c:f>
              <c:numCache>
                <c:formatCode>0.00_);[Red]\(0.00\)</c:formatCode>
                <c:ptCount val="5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</c:numCache>
            </c:numRef>
          </c:xVal>
          <c:yVal>
            <c:numRef>
              <c:f>'eg03'!$F$41:$F$90</c:f>
              <c:numCache>
                <c:formatCode>0.000.E+00</c:formatCode>
                <c:ptCount val="50"/>
                <c:pt idx="0">
                  <c:v>173122</c:v>
                </c:pt>
                <c:pt idx="1">
                  <c:v>192972.40000000002</c:v>
                </c:pt>
                <c:pt idx="2">
                  <c:v>213665.6</c:v>
                </c:pt>
                <c:pt idx="3">
                  <c:v>235354.4</c:v>
                </c:pt>
                <c:pt idx="4">
                  <c:v>258084.4</c:v>
                </c:pt>
                <c:pt idx="5">
                  <c:v>281764</c:v>
                </c:pt>
                <c:pt idx="6">
                  <c:v>306417.59999999998</c:v>
                </c:pt>
                <c:pt idx="7">
                  <c:v>332057.19999999995</c:v>
                </c:pt>
                <c:pt idx="8">
                  <c:v>358684</c:v>
                </c:pt>
                <c:pt idx="9">
                  <c:v>386362</c:v>
                </c:pt>
                <c:pt idx="10">
                  <c:v>415184</c:v>
                </c:pt>
                <c:pt idx="11">
                  <c:v>444959.2</c:v>
                </c:pt>
                <c:pt idx="12">
                  <c:v>475967.2</c:v>
                </c:pt>
                <c:pt idx="13">
                  <c:v>507689.8</c:v>
                </c:pt>
                <c:pt idx="14">
                  <c:v>539841.67999999993</c:v>
                </c:pt>
                <c:pt idx="15">
                  <c:v>573818</c:v>
                </c:pt>
                <c:pt idx="16">
                  <c:v>607794.32000000007</c:v>
                </c:pt>
                <c:pt idx="17">
                  <c:v>642210.56000000006</c:v>
                </c:pt>
                <c:pt idx="18">
                  <c:v>678239.84</c:v>
                </c:pt>
                <c:pt idx="19">
                  <c:v>714269.12</c:v>
                </c:pt>
                <c:pt idx="20">
                  <c:v>750785.6</c:v>
                </c:pt>
                <c:pt idx="21">
                  <c:v>788861.12</c:v>
                </c:pt>
                <c:pt idx="22">
                  <c:v>826936.6399999999</c:v>
                </c:pt>
                <c:pt idx="23">
                  <c:v>865632.55999999994</c:v>
                </c:pt>
                <c:pt idx="24">
                  <c:v>906076.87999999989</c:v>
                </c:pt>
                <c:pt idx="25">
                  <c:v>946521.2</c:v>
                </c:pt>
                <c:pt idx="26">
                  <c:v>987370.6399999999</c:v>
                </c:pt>
                <c:pt idx="27">
                  <c:v>1029232.88</c:v>
                </c:pt>
                <c:pt idx="28">
                  <c:v>1071095.1200000001</c:v>
                </c:pt>
                <c:pt idx="29">
                  <c:v>1114560</c:v>
                </c:pt>
                <c:pt idx="30">
                  <c:v>1161600</c:v>
                </c:pt>
                <c:pt idx="31">
                  <c:v>1208640</c:v>
                </c:pt>
                <c:pt idx="32">
                  <c:v>1255680</c:v>
                </c:pt>
                <c:pt idx="33">
                  <c:v>1302720</c:v>
                </c:pt>
                <c:pt idx="34">
                  <c:v>1349760</c:v>
                </c:pt>
                <c:pt idx="35">
                  <c:v>1397999.9999999998</c:v>
                </c:pt>
                <c:pt idx="36">
                  <c:v>1448400</c:v>
                </c:pt>
                <c:pt idx="37">
                  <c:v>1498800</c:v>
                </c:pt>
                <c:pt idx="38">
                  <c:v>1549840</c:v>
                </c:pt>
                <c:pt idx="39">
                  <c:v>1601920</c:v>
                </c:pt>
                <c:pt idx="40">
                  <c:v>1654000</c:v>
                </c:pt>
                <c:pt idx="41">
                  <c:v>1706080</c:v>
                </c:pt>
                <c:pt idx="42">
                  <c:v>1758160</c:v>
                </c:pt>
                <c:pt idx="43">
                  <c:v>1810240</c:v>
                </c:pt>
                <c:pt idx="44">
                  <c:v>1864480</c:v>
                </c:pt>
                <c:pt idx="45">
                  <c:v>1921600</c:v>
                </c:pt>
                <c:pt idx="46">
                  <c:v>1978720</c:v>
                </c:pt>
                <c:pt idx="47">
                  <c:v>2035840</c:v>
                </c:pt>
                <c:pt idx="48">
                  <c:v>2092960</c:v>
                </c:pt>
                <c:pt idx="49">
                  <c:v>2150080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29-43CF-AA8A-7F7F898EC904}"/>
            </c:ext>
          </c:extLst>
        </c:ser>
        <c:ser>
          <c:idx val="1"/>
          <c:order val="1"/>
          <c:tx>
            <c:v>Stragg. Long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'eg03'!$B$41:$B$90</c:f>
              <c:numCache>
                <c:formatCode>0.00_);[Red]\(0.00\)</c:formatCode>
                <c:ptCount val="5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</c:numCache>
            </c:numRef>
          </c:xVal>
          <c:yVal>
            <c:numRef>
              <c:f>'eg03'!$G$41:$G$90</c:f>
              <c:numCache>
                <c:formatCode>0.000.E+00</c:formatCode>
                <c:ptCount val="50"/>
                <c:pt idx="0">
                  <c:v>5584</c:v>
                </c:pt>
                <c:pt idx="1">
                  <c:v>6378.4000000000005</c:v>
                </c:pt>
                <c:pt idx="2">
                  <c:v>7141.2</c:v>
                </c:pt>
                <c:pt idx="3">
                  <c:v>7888.8</c:v>
                </c:pt>
                <c:pt idx="4">
                  <c:v>8628.7999999999993</c:v>
                </c:pt>
                <c:pt idx="5">
                  <c:v>9368</c:v>
                </c:pt>
                <c:pt idx="6">
                  <c:v>10111.6</c:v>
                </c:pt>
                <c:pt idx="7">
                  <c:v>10862</c:v>
                </c:pt>
                <c:pt idx="8">
                  <c:v>11619.199999999999</c:v>
                </c:pt>
                <c:pt idx="9">
                  <c:v>12383.6</c:v>
                </c:pt>
                <c:pt idx="10">
                  <c:v>13156</c:v>
                </c:pt>
                <c:pt idx="11">
                  <c:v>13935.2</c:v>
                </c:pt>
                <c:pt idx="12">
                  <c:v>15124.400000000001</c:v>
                </c:pt>
                <c:pt idx="13">
                  <c:v>16619.599999999999</c:v>
                </c:pt>
                <c:pt idx="14">
                  <c:v>18152.559999999998</c:v>
                </c:pt>
                <c:pt idx="15">
                  <c:v>19846</c:v>
                </c:pt>
                <c:pt idx="16">
                  <c:v>21539.440000000002</c:v>
                </c:pt>
                <c:pt idx="17">
                  <c:v>23199.040000000001</c:v>
                </c:pt>
                <c:pt idx="18">
                  <c:v>24734.560000000001</c:v>
                </c:pt>
                <c:pt idx="19">
                  <c:v>26270.079999999998</c:v>
                </c:pt>
                <c:pt idx="20">
                  <c:v>27788</c:v>
                </c:pt>
                <c:pt idx="21">
                  <c:v>29249.599999999999</c:v>
                </c:pt>
                <c:pt idx="22">
                  <c:v>30711.199999999997</c:v>
                </c:pt>
                <c:pt idx="23">
                  <c:v>32165.759999999998</c:v>
                </c:pt>
                <c:pt idx="24">
                  <c:v>33600.479999999996</c:v>
                </c:pt>
                <c:pt idx="25">
                  <c:v>35035.199999999997</c:v>
                </c:pt>
                <c:pt idx="26">
                  <c:v>36468.959999999999</c:v>
                </c:pt>
                <c:pt idx="27">
                  <c:v>37900.32</c:v>
                </c:pt>
                <c:pt idx="28">
                  <c:v>39331.68</c:v>
                </c:pt>
                <c:pt idx="29">
                  <c:v>40763.040000000001</c:v>
                </c:pt>
                <c:pt idx="30">
                  <c:v>42194.400000000001</c:v>
                </c:pt>
                <c:pt idx="31">
                  <c:v>43625.760000000002</c:v>
                </c:pt>
                <c:pt idx="32">
                  <c:v>45059.360000000001</c:v>
                </c:pt>
                <c:pt idx="33">
                  <c:v>46497.440000000002</c:v>
                </c:pt>
                <c:pt idx="34">
                  <c:v>47935.519999999997</c:v>
                </c:pt>
                <c:pt idx="35">
                  <c:v>49375.999999999993</c:v>
                </c:pt>
                <c:pt idx="36">
                  <c:v>50820.799999999996</c:v>
                </c:pt>
                <c:pt idx="37">
                  <c:v>52265.599999999999</c:v>
                </c:pt>
                <c:pt idx="38">
                  <c:v>54200.639999999999</c:v>
                </c:pt>
                <c:pt idx="39">
                  <c:v>56932.32</c:v>
                </c:pt>
                <c:pt idx="40">
                  <c:v>59664</c:v>
                </c:pt>
                <c:pt idx="41">
                  <c:v>62395.68</c:v>
                </c:pt>
                <c:pt idx="42">
                  <c:v>65127.360000000001</c:v>
                </c:pt>
                <c:pt idx="43">
                  <c:v>67859.040000000008</c:v>
                </c:pt>
                <c:pt idx="44">
                  <c:v>70510.8</c:v>
                </c:pt>
                <c:pt idx="45">
                  <c:v>73056</c:v>
                </c:pt>
                <c:pt idx="46">
                  <c:v>75601.2</c:v>
                </c:pt>
                <c:pt idx="47">
                  <c:v>78146.399999999994</c:v>
                </c:pt>
                <c:pt idx="48">
                  <c:v>80691.599999999991</c:v>
                </c:pt>
                <c:pt idx="49">
                  <c:v>83236.800000000003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29-43CF-AA8A-7F7F898EC904}"/>
            </c:ext>
          </c:extLst>
        </c:ser>
        <c:ser>
          <c:idx val="2"/>
          <c:order val="2"/>
          <c:tx>
            <c:v>Stragg.Lateral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3"/>
            <c:spPr>
              <a:solidFill>
                <a:srgbClr val="006600"/>
              </a:solidFill>
              <a:ln>
                <a:noFill/>
              </a:ln>
            </c:spPr>
          </c:marker>
          <c:xVal>
            <c:numRef>
              <c:f>'eg03'!$B$41:$B$90</c:f>
              <c:numCache>
                <c:formatCode>0.00_);[Red]\(0.00\)</c:formatCode>
                <c:ptCount val="5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</c:numCache>
            </c:numRef>
          </c:xVal>
          <c:yVal>
            <c:numRef>
              <c:f>'eg03'!$H$41:$H$90</c:f>
              <c:numCache>
                <c:formatCode>0.000.E+00</c:formatCode>
                <c:ptCount val="50"/>
                <c:pt idx="0">
                  <c:v>1338</c:v>
                </c:pt>
                <c:pt idx="1">
                  <c:v>1394.4</c:v>
                </c:pt>
                <c:pt idx="2">
                  <c:v>1445.6</c:v>
                </c:pt>
                <c:pt idx="3">
                  <c:v>1504.4</c:v>
                </c:pt>
                <c:pt idx="4">
                  <c:v>1570.8</c:v>
                </c:pt>
                <c:pt idx="5">
                  <c:v>1632</c:v>
                </c:pt>
                <c:pt idx="6">
                  <c:v>1699.6</c:v>
                </c:pt>
                <c:pt idx="7">
                  <c:v>1772.3999999999999</c:v>
                </c:pt>
                <c:pt idx="8">
                  <c:v>1840.8</c:v>
                </c:pt>
                <c:pt idx="9">
                  <c:v>1916.4</c:v>
                </c:pt>
                <c:pt idx="10">
                  <c:v>2000</c:v>
                </c:pt>
                <c:pt idx="11">
                  <c:v>2084</c:v>
                </c:pt>
                <c:pt idx="12">
                  <c:v>2170.4</c:v>
                </c:pt>
                <c:pt idx="13">
                  <c:v>2258.6</c:v>
                </c:pt>
                <c:pt idx="14">
                  <c:v>2348.56</c:v>
                </c:pt>
                <c:pt idx="15">
                  <c:v>2446</c:v>
                </c:pt>
                <c:pt idx="16">
                  <c:v>2543.44</c:v>
                </c:pt>
                <c:pt idx="17">
                  <c:v>2642.32</c:v>
                </c:pt>
                <c:pt idx="18">
                  <c:v>2746.48</c:v>
                </c:pt>
                <c:pt idx="19">
                  <c:v>2850.64</c:v>
                </c:pt>
                <c:pt idx="20">
                  <c:v>2956.4</c:v>
                </c:pt>
                <c:pt idx="21">
                  <c:v>3067.2799999999997</c:v>
                </c:pt>
                <c:pt idx="22">
                  <c:v>3178.16</c:v>
                </c:pt>
                <c:pt idx="23">
                  <c:v>3289.9199999999996</c:v>
                </c:pt>
                <c:pt idx="24">
                  <c:v>3404.16</c:v>
                </c:pt>
                <c:pt idx="25">
                  <c:v>3518.3999999999996</c:v>
                </c:pt>
                <c:pt idx="26">
                  <c:v>3635.52</c:v>
                </c:pt>
                <c:pt idx="27">
                  <c:v>3759.84</c:v>
                </c:pt>
                <c:pt idx="28">
                  <c:v>3884.16</c:v>
                </c:pt>
                <c:pt idx="29">
                  <c:v>4009.52</c:v>
                </c:pt>
                <c:pt idx="30">
                  <c:v>4137.2</c:v>
                </c:pt>
                <c:pt idx="31">
                  <c:v>4264.88</c:v>
                </c:pt>
                <c:pt idx="32">
                  <c:v>4394.8</c:v>
                </c:pt>
                <c:pt idx="33">
                  <c:v>4529.2</c:v>
                </c:pt>
                <c:pt idx="34">
                  <c:v>4663.5999999999995</c:v>
                </c:pt>
                <c:pt idx="35">
                  <c:v>4800.3999999999996</c:v>
                </c:pt>
                <c:pt idx="36">
                  <c:v>4941.5199999999995</c:v>
                </c:pt>
                <c:pt idx="37">
                  <c:v>5082.6399999999994</c:v>
                </c:pt>
                <c:pt idx="38">
                  <c:v>5226.96</c:v>
                </c:pt>
                <c:pt idx="39">
                  <c:v>5376.48</c:v>
                </c:pt>
                <c:pt idx="40">
                  <c:v>5526</c:v>
                </c:pt>
                <c:pt idx="41">
                  <c:v>5675.52</c:v>
                </c:pt>
                <c:pt idx="42">
                  <c:v>5825.04</c:v>
                </c:pt>
                <c:pt idx="43">
                  <c:v>5974.56</c:v>
                </c:pt>
                <c:pt idx="44">
                  <c:v>6129.1200000000008</c:v>
                </c:pt>
                <c:pt idx="45">
                  <c:v>6290.4000000000005</c:v>
                </c:pt>
                <c:pt idx="46">
                  <c:v>6451.68</c:v>
                </c:pt>
                <c:pt idx="47">
                  <c:v>6612.96</c:v>
                </c:pt>
                <c:pt idx="48">
                  <c:v>6774.24</c:v>
                </c:pt>
                <c:pt idx="49">
                  <c:v>6935.5199999999995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29-43CF-AA8A-7F7F898EC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533048"/>
        <c:axId val="682524032"/>
      </c:scatterChart>
      <c:valAx>
        <c:axId val="68253304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</c:majorGridlines>
        <c:minorGridlines>
          <c:spPr>
            <a:ln>
              <a:solidFill>
                <a:srgbClr val="CCECFF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</a:t>
                </a:r>
                <a:r>
                  <a:rPr lang="en-US" baseline="0"/>
                  <a:t> beam</a:t>
                </a:r>
                <a:r>
                  <a:rPr lang="en-US"/>
                  <a:t> [MeV/A]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59472187500000007"/>
              <c:y val="0.78833333333333333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cross"/>
        <c:minorTickMark val="in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682524032"/>
        <c:crosses val="autoZero"/>
        <c:crossBetween val="midCat"/>
      </c:valAx>
      <c:valAx>
        <c:axId val="682524032"/>
        <c:scaling>
          <c:orientation val="minMax"/>
        </c:scaling>
        <c:delete val="0"/>
        <c:axPos val="l"/>
        <c:majorGridlines>
          <c:spPr>
            <a:ln w="12700">
              <a:solidFill>
                <a:schemeClr val="tx2"/>
              </a:solidFill>
              <a:prstDash val="sysDash"/>
            </a:ln>
          </c:spPr>
        </c:majorGridlines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Range, Straggling [</a:t>
                </a:r>
                <a:r>
                  <a:rPr lang="en-US" altLang="ja-JP">
                    <a:solidFill>
                      <a:schemeClr val="tx1"/>
                    </a:solidFill>
                  </a:rPr>
                  <a:t>μm]</a:t>
                </a:r>
                <a:endParaRPr lang="ja-JP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20946493055555557"/>
              <c:y val="0.23653611111111111"/>
            </c:manualLayout>
          </c:layout>
          <c:overlay val="0"/>
          <c:spPr>
            <a:solidFill>
              <a:schemeClr val="bg1"/>
            </a:solidFill>
          </c:spPr>
        </c:title>
        <c:numFmt formatCode="0.E+0" sourceLinked="0"/>
        <c:majorTickMark val="cross"/>
        <c:minorTickMark val="out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b="1">
                <a:solidFill>
                  <a:schemeClr val="tx1"/>
                </a:solidFill>
              </a:defRPr>
            </a:pPr>
            <a:endParaRPr lang="ja-JP"/>
          </a:p>
        </c:txPr>
        <c:crossAx val="682533048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4997847222222218"/>
          <c:y val="0.59084861111111109"/>
          <c:w val="0.44428402777777776"/>
          <c:h val="0.15190154848491033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  <c:showDLblsOverMax val="0"/>
  </c:chart>
  <c:spPr>
    <a:solidFill>
      <a:schemeClr val="bg1"/>
    </a:solidFill>
    <a:ln w="3175">
      <a:noFill/>
    </a:ln>
  </c:spPr>
  <c:txPr>
    <a:bodyPr/>
    <a:lstStyle/>
    <a:p>
      <a:pPr>
        <a:defRPr baseline="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'eg03'!$C$7</c:f>
          <c:strCache>
            <c:ptCount val="1"/>
            <c:pt idx="0">
              <c:v>srim84Kr_Air</c:v>
            </c:pt>
          </c:strCache>
        </c:strRef>
      </c:tx>
      <c:layout>
        <c:manualLayout>
          <c:xMode val="edge"/>
          <c:yMode val="edge"/>
          <c:x val="9.3100757575757573E-2"/>
          <c:y val="6.0316319444444447E-2"/>
        </c:manualLayout>
      </c:layout>
      <c:overlay val="1"/>
      <c:spPr>
        <a:solidFill>
          <a:schemeClr val="bg1"/>
        </a:solidFill>
        <a:ln>
          <a:solidFill>
            <a:srgbClr val="00B050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0907058670898057E-2"/>
          <c:y val="4.1004378353659665E-2"/>
          <c:w val="0.89444707244294086"/>
          <c:h val="0.9081176241858655"/>
        </c:manualLayout>
      </c:layout>
      <c:scatterChart>
        <c:scatterStyle val="lineMarker"/>
        <c:varyColors val="0"/>
        <c:ser>
          <c:idx val="3"/>
          <c:order val="0"/>
          <c:tx>
            <c:v>dE/dxElec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'eg03'!$B$97:$B$177</c:f>
              <c:numCache>
                <c:formatCode>0.0E+00</c:formatCode>
                <c:ptCount val="81"/>
                <c:pt idx="0">
                  <c:v>1.071427380952381E-5</c:v>
                </c:pt>
                <c:pt idx="1">
                  <c:v>2.1428547619047621E-5</c:v>
                </c:pt>
                <c:pt idx="2">
                  <c:v>3.2142821428571435E-5</c:v>
                </c:pt>
                <c:pt idx="3">
                  <c:v>4.2857095238095242E-5</c:v>
                </c:pt>
                <c:pt idx="4">
                  <c:v>5.3571369047619049E-5</c:v>
                </c:pt>
                <c:pt idx="5">
                  <c:v>6.428564285714287E-5</c:v>
                </c:pt>
                <c:pt idx="6">
                  <c:v>7.4999916666666677E-5</c:v>
                </c:pt>
                <c:pt idx="7">
                  <c:v>8.5714190476190484E-5</c:v>
                </c:pt>
                <c:pt idx="8">
                  <c:v>9.6428464285714291E-5</c:v>
                </c:pt>
                <c:pt idx="9">
                  <c:v>1.071427380952381E-4</c:v>
                </c:pt>
                <c:pt idx="10">
                  <c:v>2.142854761904762E-4</c:v>
                </c:pt>
                <c:pt idx="11">
                  <c:v>3.2142821428571435E-4</c:v>
                </c:pt>
                <c:pt idx="12">
                  <c:v>4.2857095238095239E-4</c:v>
                </c:pt>
                <c:pt idx="13">
                  <c:v>5.3571369047619049E-4</c:v>
                </c:pt>
                <c:pt idx="14">
                  <c:v>6.428564285714287E-4</c:v>
                </c:pt>
                <c:pt idx="15">
                  <c:v>7.499991666666668E-4</c:v>
                </c:pt>
                <c:pt idx="16">
                  <c:v>8.5714190476190479E-4</c:v>
                </c:pt>
                <c:pt idx="17">
                  <c:v>9.6428464285714288E-4</c:v>
                </c:pt>
                <c:pt idx="18">
                  <c:v>1.071427380952381E-3</c:v>
                </c:pt>
                <c:pt idx="19">
                  <c:v>2.142854761904762E-3</c:v>
                </c:pt>
                <c:pt idx="20">
                  <c:v>3.2142821428571434E-3</c:v>
                </c:pt>
                <c:pt idx="21">
                  <c:v>4.2857095238095239E-3</c:v>
                </c:pt>
                <c:pt idx="22">
                  <c:v>5.3571369047619045E-3</c:v>
                </c:pt>
                <c:pt idx="23">
                  <c:v>6.4285642857142868E-3</c:v>
                </c:pt>
                <c:pt idx="24">
                  <c:v>7.4999916666666682E-3</c:v>
                </c:pt>
                <c:pt idx="25">
                  <c:v>8.5714190476190479E-3</c:v>
                </c:pt>
                <c:pt idx="26">
                  <c:v>9.6428464285714284E-3</c:v>
                </c:pt>
                <c:pt idx="27">
                  <c:v>1.0714273809523809E-2</c:v>
                </c:pt>
                <c:pt idx="28">
                  <c:v>2.1428547619047618E-2</c:v>
                </c:pt>
                <c:pt idx="29">
                  <c:v>3.214282142857143E-2</c:v>
                </c:pt>
                <c:pt idx="30">
                  <c:v>4.2857095238095236E-2</c:v>
                </c:pt>
                <c:pt idx="31">
                  <c:v>5.3571369047619041E-2</c:v>
                </c:pt>
                <c:pt idx="32">
                  <c:v>6.4285642857142861E-2</c:v>
                </c:pt>
                <c:pt idx="33">
                  <c:v>7.499991666666668E-2</c:v>
                </c:pt>
                <c:pt idx="34">
                  <c:v>8.5714190476190472E-2</c:v>
                </c:pt>
                <c:pt idx="35">
                  <c:v>9.6428464285714277E-2</c:v>
                </c:pt>
                <c:pt idx="36">
                  <c:v>0.10714273809523808</c:v>
                </c:pt>
                <c:pt idx="37">
                  <c:v>0.21428547619047617</c:v>
                </c:pt>
                <c:pt idx="38">
                  <c:v>0.32142821428571433</c:v>
                </c:pt>
                <c:pt idx="39">
                  <c:v>0.42857095238095233</c:v>
                </c:pt>
                <c:pt idx="40">
                  <c:v>0.53571369047619044</c:v>
                </c:pt>
                <c:pt idx="41">
                  <c:v>0.64285642857142866</c:v>
                </c:pt>
                <c:pt idx="42">
                  <c:v>0.74999916666666677</c:v>
                </c:pt>
                <c:pt idx="43">
                  <c:v>0.85714190476190466</c:v>
                </c:pt>
                <c:pt idx="44">
                  <c:v>0.96428464285714277</c:v>
                </c:pt>
                <c:pt idx="45">
                  <c:v>1.0714273809523809</c:v>
                </c:pt>
                <c:pt idx="46">
                  <c:v>2.1428547619047618</c:v>
                </c:pt>
                <c:pt idx="47">
                  <c:v>3.2142821428571433</c:v>
                </c:pt>
                <c:pt idx="48">
                  <c:v>4.2857095238095235</c:v>
                </c:pt>
                <c:pt idx="49">
                  <c:v>5.3571369047619042</c:v>
                </c:pt>
                <c:pt idx="50">
                  <c:v>6.4285642857142866</c:v>
                </c:pt>
                <c:pt idx="51">
                  <c:v>7.4999916666666682</c:v>
                </c:pt>
                <c:pt idx="52">
                  <c:v>8.571419047619047</c:v>
                </c:pt>
                <c:pt idx="53">
                  <c:v>9.6428464285714277</c:v>
                </c:pt>
                <c:pt idx="54">
                  <c:v>10.714273809523808</c:v>
                </c:pt>
                <c:pt idx="55">
                  <c:v>21.428547619047617</c:v>
                </c:pt>
                <c:pt idx="56">
                  <c:v>32.14282142857143</c:v>
                </c:pt>
                <c:pt idx="57">
                  <c:v>42.857095238095233</c:v>
                </c:pt>
                <c:pt idx="58">
                  <c:v>53.571369047619044</c:v>
                </c:pt>
                <c:pt idx="59">
                  <c:v>64.285642857142861</c:v>
                </c:pt>
                <c:pt idx="60">
                  <c:v>74.999916666666678</c:v>
                </c:pt>
                <c:pt idx="61">
                  <c:v>85.714190476190467</c:v>
                </c:pt>
                <c:pt idx="62">
                  <c:v>96.428464285714284</c:v>
                </c:pt>
                <c:pt idx="63">
                  <c:v>107.14273809523809</c:v>
                </c:pt>
                <c:pt idx="64">
                  <c:v>214.28547619047617</c:v>
                </c:pt>
                <c:pt idx="65">
                  <c:v>321.42821428571432</c:v>
                </c:pt>
                <c:pt idx="66">
                  <c:v>428.57095238095235</c:v>
                </c:pt>
                <c:pt idx="67">
                  <c:v>535.71369047619044</c:v>
                </c:pt>
                <c:pt idx="68">
                  <c:v>642.85642857142864</c:v>
                </c:pt>
                <c:pt idx="69">
                  <c:v>749.99916666666672</c:v>
                </c:pt>
                <c:pt idx="70">
                  <c:v>857.1419047619047</c:v>
                </c:pt>
                <c:pt idx="71">
                  <c:v>964.2846428571429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</c:numCache>
            </c:numRef>
          </c:xVal>
          <c:yVal>
            <c:numRef>
              <c:f>'eg03'!$C$97:$C$177</c:f>
              <c:numCache>
                <c:formatCode>0.000.E+00</c:formatCode>
                <c:ptCount val="81"/>
                <c:pt idx="0">
                  <c:v>0.1341</c:v>
                </c:pt>
                <c:pt idx="1">
                  <c:v>0.18969989200000001</c:v>
                </c:pt>
                <c:pt idx="2">
                  <c:v>0.23221986920000001</c:v>
                </c:pt>
                <c:pt idx="3">
                  <c:v>0.26821985120000003</c:v>
                </c:pt>
                <c:pt idx="4">
                  <c:v>0.29989982800000003</c:v>
                </c:pt>
                <c:pt idx="5">
                  <c:v>0.32849981400000006</c:v>
                </c:pt>
                <c:pt idx="6">
                  <c:v>0.35475980260000001</c:v>
                </c:pt>
                <c:pt idx="7">
                  <c:v>0.37917979280000003</c:v>
                </c:pt>
                <c:pt idx="8">
                  <c:v>0.40231978219999998</c:v>
                </c:pt>
                <c:pt idx="9">
                  <c:v>0.42409975799999999</c:v>
                </c:pt>
                <c:pt idx="10">
                  <c:v>0.59979966200000001</c:v>
                </c:pt>
                <c:pt idx="11">
                  <c:v>0.73449958599999998</c:v>
                </c:pt>
                <c:pt idx="12">
                  <c:v>0.84811953120000005</c:v>
                </c:pt>
                <c:pt idx="13">
                  <c:v>0.94839945700000006</c:v>
                </c:pt>
                <c:pt idx="14">
                  <c:v>1.0383394204</c:v>
                </c:pt>
                <c:pt idx="15">
                  <c:v>1.1219993699999999</c:v>
                </c:pt>
                <c:pt idx="16">
                  <c:v>1.1991993519999999</c:v>
                </c:pt>
                <c:pt idx="17">
                  <c:v>1.271699307</c:v>
                </c:pt>
                <c:pt idx="18">
                  <c:v>1.34099923</c:v>
                </c:pt>
                <c:pt idx="19">
                  <c:v>1.63700314</c:v>
                </c:pt>
                <c:pt idx="20">
                  <c:v>1.4229992800000002</c:v>
                </c:pt>
                <c:pt idx="21">
                  <c:v>1.753198432</c:v>
                </c:pt>
                <c:pt idx="22">
                  <c:v>2.0839982300000002</c:v>
                </c:pt>
                <c:pt idx="23">
                  <c:v>2.3557983080000002</c:v>
                </c:pt>
                <c:pt idx="24">
                  <c:v>2.5805983760000002</c:v>
                </c:pt>
                <c:pt idx="25">
                  <c:v>2.7729984399999998</c:v>
                </c:pt>
                <c:pt idx="26">
                  <c:v>2.9468983889999998</c:v>
                </c:pt>
                <c:pt idx="27">
                  <c:v>3.1079982099999999</c:v>
                </c:pt>
                <c:pt idx="28">
                  <c:v>4.5639969000000002</c:v>
                </c:pt>
                <c:pt idx="29">
                  <c:v>5.872795848</c:v>
                </c:pt>
                <c:pt idx="30">
                  <c:v>7.0585948959999998</c:v>
                </c:pt>
                <c:pt idx="31">
                  <c:v>8.1939937199999999</c:v>
                </c:pt>
                <c:pt idx="32">
                  <c:v>9.3309923799999996</c:v>
                </c:pt>
                <c:pt idx="33">
                  <c:v>10.495990760000002</c:v>
                </c:pt>
                <c:pt idx="34">
                  <c:v>11.69398904</c:v>
                </c:pt>
                <c:pt idx="35">
                  <c:v>12.931987219999998</c:v>
                </c:pt>
                <c:pt idx="36">
                  <c:v>14.2099858</c:v>
                </c:pt>
                <c:pt idx="37">
                  <c:v>26.729975</c:v>
                </c:pt>
                <c:pt idx="38">
                  <c:v>35.395976960000006</c:v>
                </c:pt>
                <c:pt idx="39">
                  <c:v>40.527982879999996</c:v>
                </c:pt>
                <c:pt idx="40">
                  <c:v>43.649984599999996</c:v>
                </c:pt>
                <c:pt idx="41">
                  <c:v>45.583988840000004</c:v>
                </c:pt>
                <c:pt idx="42">
                  <c:v>46.825992159999998</c:v>
                </c:pt>
                <c:pt idx="43">
                  <c:v>47.591995519999998</c:v>
                </c:pt>
                <c:pt idx="44">
                  <c:v>48.066997569999998</c:v>
                </c:pt>
                <c:pt idx="45">
                  <c:v>48.309997299999999</c:v>
                </c:pt>
                <c:pt idx="46">
                  <c:v>47.139999600000003</c:v>
                </c:pt>
                <c:pt idx="47">
                  <c:v>45.614004439999995</c:v>
                </c:pt>
                <c:pt idx="48">
                  <c:v>44.292005920000001</c:v>
                </c:pt>
                <c:pt idx="49">
                  <c:v>42.880008000000004</c:v>
                </c:pt>
                <c:pt idx="50">
                  <c:v>41.344010439999998</c:v>
                </c:pt>
                <c:pt idx="51">
                  <c:v>39.728012880000001</c:v>
                </c:pt>
                <c:pt idx="52">
                  <c:v>38.058014880000002</c:v>
                </c:pt>
                <c:pt idx="53">
                  <c:v>36.388016380000003</c:v>
                </c:pt>
                <c:pt idx="54">
                  <c:v>34.7500182</c:v>
                </c:pt>
                <c:pt idx="55">
                  <c:v>22.740017999999999</c:v>
                </c:pt>
                <c:pt idx="56">
                  <c:v>17.984013440000002</c:v>
                </c:pt>
                <c:pt idx="57">
                  <c:v>14.770011200000001</c:v>
                </c:pt>
                <c:pt idx="58">
                  <c:v>12.620010899999999</c:v>
                </c:pt>
                <c:pt idx="59">
                  <c:v>11.10400924</c:v>
                </c:pt>
                <c:pt idx="60">
                  <c:v>9.9604079239999983</c:v>
                </c:pt>
                <c:pt idx="61">
                  <c:v>9.0744065840000019</c:v>
                </c:pt>
                <c:pt idx="62">
                  <c:v>8.3497059670000002</c:v>
                </c:pt>
                <c:pt idx="63">
                  <c:v>7.7530066300000007</c:v>
                </c:pt>
                <c:pt idx="64">
                  <c:v>4.8850035199999997</c:v>
                </c:pt>
                <c:pt idx="65">
                  <c:v>3.8732024119999999</c:v>
                </c:pt>
                <c:pt idx="66">
                  <c:v>3.3610016800000002</c:v>
                </c:pt>
                <c:pt idx="67">
                  <c:v>3.0570014999999997</c:v>
                </c:pt>
                <c:pt idx="68">
                  <c:v>2.8630011399999997</c:v>
                </c:pt>
                <c:pt idx="69">
                  <c:v>2.7292008820000002</c:v>
                </c:pt>
                <c:pt idx="70">
                  <c:v>2.6346006559999999</c:v>
                </c:pt>
                <c:pt idx="71">
                  <c:v>2.56300054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B9-40C1-92A1-157146AD8114}"/>
            </c:ext>
          </c:extLst>
        </c:ser>
        <c:ser>
          <c:idx val="4"/>
          <c:order val="1"/>
          <c:tx>
            <c:v>dE/dxNucl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'eg03'!$B$97:$B$177</c:f>
              <c:numCache>
                <c:formatCode>0.0E+00</c:formatCode>
                <c:ptCount val="81"/>
                <c:pt idx="0">
                  <c:v>1.071427380952381E-5</c:v>
                </c:pt>
                <c:pt idx="1">
                  <c:v>2.1428547619047621E-5</c:v>
                </c:pt>
                <c:pt idx="2">
                  <c:v>3.2142821428571435E-5</c:v>
                </c:pt>
                <c:pt idx="3">
                  <c:v>4.2857095238095242E-5</c:v>
                </c:pt>
                <c:pt idx="4">
                  <c:v>5.3571369047619049E-5</c:v>
                </c:pt>
                <c:pt idx="5">
                  <c:v>6.428564285714287E-5</c:v>
                </c:pt>
                <c:pt idx="6">
                  <c:v>7.4999916666666677E-5</c:v>
                </c:pt>
                <c:pt idx="7">
                  <c:v>8.5714190476190484E-5</c:v>
                </c:pt>
                <c:pt idx="8">
                  <c:v>9.6428464285714291E-5</c:v>
                </c:pt>
                <c:pt idx="9">
                  <c:v>1.071427380952381E-4</c:v>
                </c:pt>
                <c:pt idx="10">
                  <c:v>2.142854761904762E-4</c:v>
                </c:pt>
                <c:pt idx="11">
                  <c:v>3.2142821428571435E-4</c:v>
                </c:pt>
                <c:pt idx="12">
                  <c:v>4.2857095238095239E-4</c:v>
                </c:pt>
                <c:pt idx="13">
                  <c:v>5.3571369047619049E-4</c:v>
                </c:pt>
                <c:pt idx="14">
                  <c:v>6.428564285714287E-4</c:v>
                </c:pt>
                <c:pt idx="15">
                  <c:v>7.499991666666668E-4</c:v>
                </c:pt>
                <c:pt idx="16">
                  <c:v>8.5714190476190479E-4</c:v>
                </c:pt>
                <c:pt idx="17">
                  <c:v>9.6428464285714288E-4</c:v>
                </c:pt>
                <c:pt idx="18">
                  <c:v>1.071427380952381E-3</c:v>
                </c:pt>
                <c:pt idx="19">
                  <c:v>2.142854761904762E-3</c:v>
                </c:pt>
                <c:pt idx="20">
                  <c:v>3.2142821428571434E-3</c:v>
                </c:pt>
                <c:pt idx="21">
                  <c:v>4.2857095238095239E-3</c:v>
                </c:pt>
                <c:pt idx="22">
                  <c:v>5.3571369047619045E-3</c:v>
                </c:pt>
                <c:pt idx="23">
                  <c:v>6.4285642857142868E-3</c:v>
                </c:pt>
                <c:pt idx="24">
                  <c:v>7.4999916666666682E-3</c:v>
                </c:pt>
                <c:pt idx="25">
                  <c:v>8.5714190476190479E-3</c:v>
                </c:pt>
                <c:pt idx="26">
                  <c:v>9.6428464285714284E-3</c:v>
                </c:pt>
                <c:pt idx="27">
                  <c:v>1.0714273809523809E-2</c:v>
                </c:pt>
                <c:pt idx="28">
                  <c:v>2.1428547619047618E-2</c:v>
                </c:pt>
                <c:pt idx="29">
                  <c:v>3.214282142857143E-2</c:v>
                </c:pt>
                <c:pt idx="30">
                  <c:v>4.2857095238095236E-2</c:v>
                </c:pt>
                <c:pt idx="31">
                  <c:v>5.3571369047619041E-2</c:v>
                </c:pt>
                <c:pt idx="32">
                  <c:v>6.4285642857142861E-2</c:v>
                </c:pt>
                <c:pt idx="33">
                  <c:v>7.499991666666668E-2</c:v>
                </c:pt>
                <c:pt idx="34">
                  <c:v>8.5714190476190472E-2</c:v>
                </c:pt>
                <c:pt idx="35">
                  <c:v>9.6428464285714277E-2</c:v>
                </c:pt>
                <c:pt idx="36">
                  <c:v>0.10714273809523808</c:v>
                </c:pt>
                <c:pt idx="37">
                  <c:v>0.21428547619047617</c:v>
                </c:pt>
                <c:pt idx="38">
                  <c:v>0.32142821428571433</c:v>
                </c:pt>
                <c:pt idx="39">
                  <c:v>0.42857095238095233</c:v>
                </c:pt>
                <c:pt idx="40">
                  <c:v>0.53571369047619044</c:v>
                </c:pt>
                <c:pt idx="41">
                  <c:v>0.64285642857142866</c:v>
                </c:pt>
                <c:pt idx="42">
                  <c:v>0.74999916666666677</c:v>
                </c:pt>
                <c:pt idx="43">
                  <c:v>0.85714190476190466</c:v>
                </c:pt>
                <c:pt idx="44">
                  <c:v>0.96428464285714277</c:v>
                </c:pt>
                <c:pt idx="45">
                  <c:v>1.0714273809523809</c:v>
                </c:pt>
                <c:pt idx="46">
                  <c:v>2.1428547619047618</c:v>
                </c:pt>
                <c:pt idx="47">
                  <c:v>3.2142821428571433</c:v>
                </c:pt>
                <c:pt idx="48">
                  <c:v>4.2857095238095235</c:v>
                </c:pt>
                <c:pt idx="49">
                  <c:v>5.3571369047619042</c:v>
                </c:pt>
                <c:pt idx="50">
                  <c:v>6.4285642857142866</c:v>
                </c:pt>
                <c:pt idx="51">
                  <c:v>7.4999916666666682</c:v>
                </c:pt>
                <c:pt idx="52">
                  <c:v>8.571419047619047</c:v>
                </c:pt>
                <c:pt idx="53">
                  <c:v>9.6428464285714277</c:v>
                </c:pt>
                <c:pt idx="54">
                  <c:v>10.714273809523808</c:v>
                </c:pt>
                <c:pt idx="55">
                  <c:v>21.428547619047617</c:v>
                </c:pt>
                <c:pt idx="56">
                  <c:v>32.14282142857143</c:v>
                </c:pt>
                <c:pt idx="57">
                  <c:v>42.857095238095233</c:v>
                </c:pt>
                <c:pt idx="58">
                  <c:v>53.571369047619044</c:v>
                </c:pt>
                <c:pt idx="59">
                  <c:v>64.285642857142861</c:v>
                </c:pt>
                <c:pt idx="60">
                  <c:v>74.999916666666678</c:v>
                </c:pt>
                <c:pt idx="61">
                  <c:v>85.714190476190467</c:v>
                </c:pt>
                <c:pt idx="62">
                  <c:v>96.428464285714284</c:v>
                </c:pt>
                <c:pt idx="63">
                  <c:v>107.14273809523809</c:v>
                </c:pt>
                <c:pt idx="64">
                  <c:v>214.28547619047617</c:v>
                </c:pt>
                <c:pt idx="65">
                  <c:v>321.42821428571432</c:v>
                </c:pt>
                <c:pt idx="66">
                  <c:v>428.57095238095235</c:v>
                </c:pt>
                <c:pt idx="67">
                  <c:v>535.71369047619044</c:v>
                </c:pt>
                <c:pt idx="68">
                  <c:v>642.85642857142864</c:v>
                </c:pt>
                <c:pt idx="69">
                  <c:v>749.99916666666672</c:v>
                </c:pt>
                <c:pt idx="70">
                  <c:v>857.1419047619047</c:v>
                </c:pt>
                <c:pt idx="71">
                  <c:v>964.2846428571429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</c:numCache>
            </c:numRef>
          </c:xVal>
          <c:yVal>
            <c:numRef>
              <c:f>'eg03'!$D$97:$D$177</c:f>
              <c:numCache>
                <c:formatCode>0.000.E+00</c:formatCode>
                <c:ptCount val="81"/>
                <c:pt idx="0">
                  <c:v>2.3140000000000001</c:v>
                </c:pt>
                <c:pt idx="1">
                  <c:v>3.1149985600000005</c:v>
                </c:pt>
                <c:pt idx="2">
                  <c:v>3.6433984640000001</c:v>
                </c:pt>
                <c:pt idx="3">
                  <c:v>4.039798448</c:v>
                </c:pt>
                <c:pt idx="4">
                  <c:v>4.3559983300000003</c:v>
                </c:pt>
                <c:pt idx="5">
                  <c:v>4.6147983680000007</c:v>
                </c:pt>
                <c:pt idx="6">
                  <c:v>4.8353984040000002</c:v>
                </c:pt>
                <c:pt idx="7">
                  <c:v>5.0247984880000001</c:v>
                </c:pt>
                <c:pt idx="8">
                  <c:v>5.1924985150000005</c:v>
                </c:pt>
                <c:pt idx="9">
                  <c:v>5.3409983500000004</c:v>
                </c:pt>
                <c:pt idx="10">
                  <c:v>6.23899866</c:v>
                </c:pt>
                <c:pt idx="11">
                  <c:v>6.6611989320000005</c:v>
                </c:pt>
                <c:pt idx="12">
                  <c:v>6.8913992640000004</c:v>
                </c:pt>
                <c:pt idx="13">
                  <c:v>7.0209993800000001</c:v>
                </c:pt>
                <c:pt idx="14">
                  <c:v>7.0881996520000001</c:v>
                </c:pt>
                <c:pt idx="15">
                  <c:v>7.1173998740000002</c:v>
                </c:pt>
                <c:pt idx="16">
                  <c:v>7.1204001040000007</c:v>
                </c:pt>
                <c:pt idx="17">
                  <c:v>7.1070002700000003</c:v>
                </c:pt>
                <c:pt idx="18">
                  <c:v>7.0800003</c:v>
                </c:pt>
                <c:pt idx="19">
                  <c:v>6.5550012999999998</c:v>
                </c:pt>
                <c:pt idx="20">
                  <c:v>5.9974017640000001</c:v>
                </c:pt>
                <c:pt idx="21">
                  <c:v>5.5182019520000001</c:v>
                </c:pt>
                <c:pt idx="22">
                  <c:v>5.1140021600000001</c:v>
                </c:pt>
                <c:pt idx="23">
                  <c:v>4.7740021600000002</c:v>
                </c:pt>
                <c:pt idx="24">
                  <c:v>4.481802128</c:v>
                </c:pt>
                <c:pt idx="25">
                  <c:v>4.2296020160000003</c:v>
                </c:pt>
                <c:pt idx="26">
                  <c:v>4.0061019709999997</c:v>
                </c:pt>
                <c:pt idx="27">
                  <c:v>3.8090021900000002</c:v>
                </c:pt>
                <c:pt idx="28">
                  <c:v>2.6250017800000003</c:v>
                </c:pt>
                <c:pt idx="29">
                  <c:v>2.0520015000000003</c:v>
                </c:pt>
                <c:pt idx="30">
                  <c:v>1.7032012320000001</c:v>
                </c:pt>
                <c:pt idx="31">
                  <c:v>1.4650012200000002</c:v>
                </c:pt>
                <c:pt idx="32">
                  <c:v>1.2934010439999999</c:v>
                </c:pt>
                <c:pt idx="33">
                  <c:v>1.1604009239999997</c:v>
                </c:pt>
                <c:pt idx="34">
                  <c:v>1.0561807928</c:v>
                </c:pt>
                <c:pt idx="35">
                  <c:v>0.96885072449999998</c:v>
                </c:pt>
                <c:pt idx="36">
                  <c:v>0.89640080499999997</c:v>
                </c:pt>
                <c:pt idx="37">
                  <c:v>0.53120048000000009</c:v>
                </c:pt>
                <c:pt idx="38">
                  <c:v>0.38708035879999997</c:v>
                </c:pt>
                <c:pt idx="39">
                  <c:v>0.30760027200000006</c:v>
                </c:pt>
                <c:pt idx="40">
                  <c:v>0.25670025600000002</c:v>
                </c:pt>
                <c:pt idx="41">
                  <c:v>0.22144021239999997</c:v>
                </c:pt>
                <c:pt idx="42">
                  <c:v>0.19516018059999998</c:v>
                </c:pt>
                <c:pt idx="43">
                  <c:v>0.17496014960000003</c:v>
                </c:pt>
                <c:pt idx="44">
                  <c:v>0.15850013500000001</c:v>
                </c:pt>
                <c:pt idx="45">
                  <c:v>0.14500014999999999</c:v>
                </c:pt>
                <c:pt idx="46">
                  <c:v>8.0850080600000013E-2</c:v>
                </c:pt>
                <c:pt idx="47">
                  <c:v>5.7210057599999996E-2</c:v>
                </c:pt>
                <c:pt idx="48">
                  <c:v>4.4620042400000004E-2</c:v>
                </c:pt>
                <c:pt idx="49">
                  <c:v>3.67300396E-2</c:v>
                </c:pt>
                <c:pt idx="50">
                  <c:v>3.1374032039999993E-2</c:v>
                </c:pt>
                <c:pt idx="51">
                  <c:v>2.7422027019999996E-2</c:v>
                </c:pt>
                <c:pt idx="52">
                  <c:v>2.4418022080000001E-2</c:v>
                </c:pt>
                <c:pt idx="53">
                  <c:v>2.199101971E-2</c:v>
                </c:pt>
                <c:pt idx="54">
                  <c:v>2.0020021900000001E-2</c:v>
                </c:pt>
                <c:pt idx="55">
                  <c:v>1.0840011200000001E-2</c:v>
                </c:pt>
                <c:pt idx="56">
                  <c:v>7.5572079320000004E-3</c:v>
                </c:pt>
                <c:pt idx="57">
                  <c:v>5.8374057440000009E-3</c:v>
                </c:pt>
                <c:pt idx="58">
                  <c:v>4.7720053300000006E-3</c:v>
                </c:pt>
                <c:pt idx="59">
                  <c:v>4.0536042960000003E-3</c:v>
                </c:pt>
                <c:pt idx="60">
                  <c:v>3.5274035839999995E-3</c:v>
                </c:pt>
                <c:pt idx="61">
                  <c:v>3.1300029200000004E-3</c:v>
                </c:pt>
                <c:pt idx="62">
                  <c:v>2.8093025829999999E-3</c:v>
                </c:pt>
                <c:pt idx="63">
                  <c:v>2.5510028700000001E-3</c:v>
                </c:pt>
                <c:pt idx="64">
                  <c:v>1.3580014400000001E-3</c:v>
                </c:pt>
                <c:pt idx="65">
                  <c:v>9.38401014E-4</c:v>
                </c:pt>
                <c:pt idx="66">
                  <c:v>7.2064072640000009E-4</c:v>
                </c:pt>
                <c:pt idx="67">
                  <c:v>5.8650067000000003E-4</c:v>
                </c:pt>
                <c:pt idx="68">
                  <c:v>4.966205351999999E-4</c:v>
                </c:pt>
                <c:pt idx="69">
                  <c:v>4.3090044800000001E-4</c:v>
                </c:pt>
                <c:pt idx="70">
                  <c:v>3.8146036160000002E-4</c:v>
                </c:pt>
                <c:pt idx="71">
                  <c:v>3.4147534424999997E-4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B9-40C1-92A1-157146AD8114}"/>
            </c:ext>
          </c:extLst>
        </c:ser>
        <c:ser>
          <c:idx val="5"/>
          <c:order val="2"/>
          <c:tx>
            <c:v>dE/dxTot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'eg03'!$B$97:$B$177</c:f>
              <c:numCache>
                <c:formatCode>0.0E+00</c:formatCode>
                <c:ptCount val="81"/>
                <c:pt idx="0">
                  <c:v>1.071427380952381E-5</c:v>
                </c:pt>
                <c:pt idx="1">
                  <c:v>2.1428547619047621E-5</c:v>
                </c:pt>
                <c:pt idx="2">
                  <c:v>3.2142821428571435E-5</c:v>
                </c:pt>
                <c:pt idx="3">
                  <c:v>4.2857095238095242E-5</c:v>
                </c:pt>
                <c:pt idx="4">
                  <c:v>5.3571369047619049E-5</c:v>
                </c:pt>
                <c:pt idx="5">
                  <c:v>6.428564285714287E-5</c:v>
                </c:pt>
                <c:pt idx="6">
                  <c:v>7.4999916666666677E-5</c:v>
                </c:pt>
                <c:pt idx="7">
                  <c:v>8.5714190476190484E-5</c:v>
                </c:pt>
                <c:pt idx="8">
                  <c:v>9.6428464285714291E-5</c:v>
                </c:pt>
                <c:pt idx="9">
                  <c:v>1.071427380952381E-4</c:v>
                </c:pt>
                <c:pt idx="10">
                  <c:v>2.142854761904762E-4</c:v>
                </c:pt>
                <c:pt idx="11">
                  <c:v>3.2142821428571435E-4</c:v>
                </c:pt>
                <c:pt idx="12">
                  <c:v>4.2857095238095239E-4</c:v>
                </c:pt>
                <c:pt idx="13">
                  <c:v>5.3571369047619049E-4</c:v>
                </c:pt>
                <c:pt idx="14">
                  <c:v>6.428564285714287E-4</c:v>
                </c:pt>
                <c:pt idx="15">
                  <c:v>7.499991666666668E-4</c:v>
                </c:pt>
                <c:pt idx="16">
                  <c:v>8.5714190476190479E-4</c:v>
                </c:pt>
                <c:pt idx="17">
                  <c:v>9.6428464285714288E-4</c:v>
                </c:pt>
                <c:pt idx="18">
                  <c:v>1.071427380952381E-3</c:v>
                </c:pt>
                <c:pt idx="19">
                  <c:v>2.142854761904762E-3</c:v>
                </c:pt>
                <c:pt idx="20">
                  <c:v>3.2142821428571434E-3</c:v>
                </c:pt>
                <c:pt idx="21">
                  <c:v>4.2857095238095239E-3</c:v>
                </c:pt>
                <c:pt idx="22">
                  <c:v>5.3571369047619045E-3</c:v>
                </c:pt>
                <c:pt idx="23">
                  <c:v>6.4285642857142868E-3</c:v>
                </c:pt>
                <c:pt idx="24">
                  <c:v>7.4999916666666682E-3</c:v>
                </c:pt>
                <c:pt idx="25">
                  <c:v>8.5714190476190479E-3</c:v>
                </c:pt>
                <c:pt idx="26">
                  <c:v>9.6428464285714284E-3</c:v>
                </c:pt>
                <c:pt idx="27">
                  <c:v>1.0714273809523809E-2</c:v>
                </c:pt>
                <c:pt idx="28">
                  <c:v>2.1428547619047618E-2</c:v>
                </c:pt>
                <c:pt idx="29">
                  <c:v>3.214282142857143E-2</c:v>
                </c:pt>
                <c:pt idx="30">
                  <c:v>4.2857095238095236E-2</c:v>
                </c:pt>
                <c:pt idx="31">
                  <c:v>5.3571369047619041E-2</c:v>
                </c:pt>
                <c:pt idx="32">
                  <c:v>6.4285642857142861E-2</c:v>
                </c:pt>
                <c:pt idx="33">
                  <c:v>7.499991666666668E-2</c:v>
                </c:pt>
                <c:pt idx="34">
                  <c:v>8.5714190476190472E-2</c:v>
                </c:pt>
                <c:pt idx="35">
                  <c:v>9.6428464285714277E-2</c:v>
                </c:pt>
                <c:pt idx="36">
                  <c:v>0.10714273809523808</c:v>
                </c:pt>
                <c:pt idx="37">
                  <c:v>0.21428547619047617</c:v>
                </c:pt>
                <c:pt idx="38">
                  <c:v>0.32142821428571433</c:v>
                </c:pt>
                <c:pt idx="39">
                  <c:v>0.42857095238095233</c:v>
                </c:pt>
                <c:pt idx="40">
                  <c:v>0.53571369047619044</c:v>
                </c:pt>
                <c:pt idx="41">
                  <c:v>0.64285642857142866</c:v>
                </c:pt>
                <c:pt idx="42">
                  <c:v>0.74999916666666677</c:v>
                </c:pt>
                <c:pt idx="43">
                  <c:v>0.85714190476190466</c:v>
                </c:pt>
                <c:pt idx="44">
                  <c:v>0.96428464285714277</c:v>
                </c:pt>
                <c:pt idx="45">
                  <c:v>1.0714273809523809</c:v>
                </c:pt>
                <c:pt idx="46">
                  <c:v>2.1428547619047618</c:v>
                </c:pt>
                <c:pt idx="47">
                  <c:v>3.2142821428571433</c:v>
                </c:pt>
                <c:pt idx="48">
                  <c:v>4.2857095238095235</c:v>
                </c:pt>
                <c:pt idx="49">
                  <c:v>5.3571369047619042</c:v>
                </c:pt>
                <c:pt idx="50">
                  <c:v>6.4285642857142866</c:v>
                </c:pt>
                <c:pt idx="51">
                  <c:v>7.4999916666666682</c:v>
                </c:pt>
                <c:pt idx="52">
                  <c:v>8.571419047619047</c:v>
                </c:pt>
                <c:pt idx="53">
                  <c:v>9.6428464285714277</c:v>
                </c:pt>
                <c:pt idx="54">
                  <c:v>10.714273809523808</c:v>
                </c:pt>
                <c:pt idx="55">
                  <c:v>21.428547619047617</c:v>
                </c:pt>
                <c:pt idx="56">
                  <c:v>32.14282142857143</c:v>
                </c:pt>
                <c:pt idx="57">
                  <c:v>42.857095238095233</c:v>
                </c:pt>
                <c:pt idx="58">
                  <c:v>53.571369047619044</c:v>
                </c:pt>
                <c:pt idx="59">
                  <c:v>64.285642857142861</c:v>
                </c:pt>
                <c:pt idx="60">
                  <c:v>74.999916666666678</c:v>
                </c:pt>
                <c:pt idx="61">
                  <c:v>85.714190476190467</c:v>
                </c:pt>
                <c:pt idx="62">
                  <c:v>96.428464285714284</c:v>
                </c:pt>
                <c:pt idx="63">
                  <c:v>107.14273809523809</c:v>
                </c:pt>
                <c:pt idx="64">
                  <c:v>214.28547619047617</c:v>
                </c:pt>
                <c:pt idx="65">
                  <c:v>321.42821428571432</c:v>
                </c:pt>
                <c:pt idx="66">
                  <c:v>428.57095238095235</c:v>
                </c:pt>
                <c:pt idx="67">
                  <c:v>535.71369047619044</c:v>
                </c:pt>
                <c:pt idx="68">
                  <c:v>642.85642857142864</c:v>
                </c:pt>
                <c:pt idx="69">
                  <c:v>749.99916666666672</c:v>
                </c:pt>
                <c:pt idx="70">
                  <c:v>857.1419047619047</c:v>
                </c:pt>
                <c:pt idx="71">
                  <c:v>964.2846428571429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</c:numCache>
            </c:numRef>
          </c:xVal>
          <c:yVal>
            <c:numRef>
              <c:f>'eg03'!$E$97:$E$177</c:f>
              <c:numCache>
                <c:formatCode>0.000.E+00</c:formatCode>
                <c:ptCount val="81"/>
                <c:pt idx="0">
                  <c:v>2.4481000000000002</c:v>
                </c:pt>
                <c:pt idx="1">
                  <c:v>3.3046984520000007</c:v>
                </c:pt>
                <c:pt idx="2">
                  <c:v>3.8756183332000003</c:v>
                </c:pt>
                <c:pt idx="3">
                  <c:v>4.3080182992000005</c:v>
                </c:pt>
                <c:pt idx="4">
                  <c:v>4.6558981580000003</c:v>
                </c:pt>
                <c:pt idx="5">
                  <c:v>4.9432981820000004</c:v>
                </c:pt>
                <c:pt idx="6">
                  <c:v>5.1901582066000005</c:v>
                </c:pt>
                <c:pt idx="7">
                  <c:v>5.4039782807999996</c:v>
                </c:pt>
                <c:pt idx="8">
                  <c:v>5.5948182971999998</c:v>
                </c:pt>
                <c:pt idx="9">
                  <c:v>5.7650981080000001</c:v>
                </c:pt>
                <c:pt idx="10">
                  <c:v>6.8387983219999997</c:v>
                </c:pt>
                <c:pt idx="11">
                  <c:v>7.3956985180000006</c:v>
                </c:pt>
                <c:pt idx="12">
                  <c:v>7.7395187952000004</c:v>
                </c:pt>
                <c:pt idx="13">
                  <c:v>7.969398837</c:v>
                </c:pt>
                <c:pt idx="14">
                  <c:v>8.1265390724</c:v>
                </c:pt>
                <c:pt idx="15">
                  <c:v>8.2393992440000012</c:v>
                </c:pt>
                <c:pt idx="16">
                  <c:v>8.3195994560000006</c:v>
                </c:pt>
                <c:pt idx="17">
                  <c:v>8.3786995770000008</c:v>
                </c:pt>
                <c:pt idx="18">
                  <c:v>8.4209995299999996</c:v>
                </c:pt>
                <c:pt idx="19">
                  <c:v>8.1920044399999998</c:v>
                </c:pt>
                <c:pt idx="20">
                  <c:v>7.4204010440000001</c:v>
                </c:pt>
                <c:pt idx="21">
                  <c:v>7.2714003840000005</c:v>
                </c:pt>
                <c:pt idx="22">
                  <c:v>7.1980003900000007</c:v>
                </c:pt>
                <c:pt idx="23">
                  <c:v>7.129800468</c:v>
                </c:pt>
                <c:pt idx="24">
                  <c:v>7.0624005040000002</c:v>
                </c:pt>
                <c:pt idx="25">
                  <c:v>7.0026004559999997</c:v>
                </c:pt>
                <c:pt idx="26">
                  <c:v>6.953000359999999</c:v>
                </c:pt>
                <c:pt idx="27">
                  <c:v>6.9170004</c:v>
                </c:pt>
                <c:pt idx="28">
                  <c:v>7.1889986800000001</c:v>
                </c:pt>
                <c:pt idx="29">
                  <c:v>7.9247973480000002</c:v>
                </c:pt>
                <c:pt idx="30">
                  <c:v>8.7617961279999985</c:v>
                </c:pt>
                <c:pt idx="31">
                  <c:v>9.6589949400000013</c:v>
                </c:pt>
                <c:pt idx="32">
                  <c:v>10.624393424000001</c:v>
                </c:pt>
                <c:pt idx="33">
                  <c:v>11.656391684000001</c:v>
                </c:pt>
                <c:pt idx="34">
                  <c:v>12.750169832800001</c:v>
                </c:pt>
                <c:pt idx="35">
                  <c:v>13.900837944499999</c:v>
                </c:pt>
                <c:pt idx="36">
                  <c:v>15.106386604999999</c:v>
                </c:pt>
                <c:pt idx="37">
                  <c:v>27.261175479999999</c:v>
                </c:pt>
                <c:pt idx="38">
                  <c:v>35.783057318800005</c:v>
                </c:pt>
                <c:pt idx="39">
                  <c:v>40.835583151999998</c:v>
                </c:pt>
                <c:pt idx="40">
                  <c:v>43.906684855999998</c:v>
                </c:pt>
                <c:pt idx="41">
                  <c:v>45.805429052400001</c:v>
                </c:pt>
                <c:pt idx="42">
                  <c:v>47.021152340599997</c:v>
                </c:pt>
                <c:pt idx="43">
                  <c:v>47.766955669599994</c:v>
                </c:pt>
                <c:pt idx="44">
                  <c:v>48.225497704999995</c:v>
                </c:pt>
                <c:pt idx="45">
                  <c:v>48.454997450000008</c:v>
                </c:pt>
                <c:pt idx="46">
                  <c:v>47.220849680599997</c:v>
                </c:pt>
                <c:pt idx="47">
                  <c:v>45.671214497599998</c:v>
                </c:pt>
                <c:pt idx="48">
                  <c:v>44.336625962399999</c:v>
                </c:pt>
                <c:pt idx="49">
                  <c:v>42.916738039599998</c:v>
                </c:pt>
                <c:pt idx="50">
                  <c:v>41.375384472039997</c:v>
                </c:pt>
                <c:pt idx="51">
                  <c:v>39.755434907019996</c:v>
                </c:pt>
                <c:pt idx="52">
                  <c:v>38.082432902080001</c:v>
                </c:pt>
                <c:pt idx="53">
                  <c:v>36.410007399710004</c:v>
                </c:pt>
                <c:pt idx="54">
                  <c:v>34.770038221900002</c:v>
                </c:pt>
                <c:pt idx="55">
                  <c:v>22.750858011200002</c:v>
                </c:pt>
                <c:pt idx="56">
                  <c:v>17.991570647932001</c:v>
                </c:pt>
                <c:pt idx="57">
                  <c:v>14.775848605744002</c:v>
                </c:pt>
                <c:pt idx="58">
                  <c:v>12.624782905330001</c:v>
                </c:pt>
                <c:pt idx="59">
                  <c:v>11.108062844296001</c:v>
                </c:pt>
                <c:pt idx="60">
                  <c:v>9.9639353275840001</c:v>
                </c:pt>
                <c:pt idx="61">
                  <c:v>9.0775365869200009</c:v>
                </c:pt>
                <c:pt idx="62">
                  <c:v>8.3525152695830016</c:v>
                </c:pt>
                <c:pt idx="63">
                  <c:v>7.7555576328700004</c:v>
                </c:pt>
                <c:pt idx="64">
                  <c:v>4.8863615214399996</c:v>
                </c:pt>
                <c:pt idx="65">
                  <c:v>3.8741408130140003</c:v>
                </c:pt>
                <c:pt idx="66">
                  <c:v>3.3617223207264004</c:v>
                </c:pt>
                <c:pt idx="67">
                  <c:v>3.0575880006699996</c:v>
                </c:pt>
                <c:pt idx="68">
                  <c:v>2.8634977605351999</c:v>
                </c:pt>
                <c:pt idx="69">
                  <c:v>2.7296317824480001</c:v>
                </c:pt>
                <c:pt idx="70">
                  <c:v>2.6349821163615998</c:v>
                </c:pt>
                <c:pt idx="71">
                  <c:v>2.5633420153442499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B9-40C1-92A1-157146AD8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525992"/>
        <c:axId val="682534616"/>
      </c:scatterChart>
      <c:valAx>
        <c:axId val="682525992"/>
        <c:scaling>
          <c:logBase val="10"/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</c:majorGridlines>
        <c:minorGridlines>
          <c:spPr>
            <a:ln>
              <a:solidFill>
                <a:srgbClr val="CCECFF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</a:t>
                </a:r>
                <a:r>
                  <a:rPr lang="en-US" baseline="0"/>
                  <a:t> beam</a:t>
                </a:r>
                <a:r>
                  <a:rPr lang="en-US"/>
                  <a:t> [MeV/A]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70473611111111112"/>
              <c:y val="0.87525486111111106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cross"/>
        <c:minorTickMark val="in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682534616"/>
        <c:crosses val="autoZero"/>
        <c:crossBetween val="midCat"/>
      </c:valAx>
      <c:valAx>
        <c:axId val="682534616"/>
        <c:scaling>
          <c:logBase val="10"/>
          <c:orientation val="minMax"/>
        </c:scaling>
        <c:delete val="0"/>
        <c:axPos val="l"/>
        <c:majorGridlines>
          <c:spPr>
            <a:ln w="12700">
              <a:solidFill>
                <a:schemeClr val="tx2"/>
              </a:solidFill>
              <a:prstDash val="sysDash"/>
            </a:ln>
          </c:spPr>
        </c:majorGridlines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 altLang="ja-JP">
                    <a:solidFill>
                      <a:schemeClr val="tx1"/>
                    </a:solidFill>
                  </a:rPr>
                  <a:t>dE/dX</a:t>
                </a:r>
                <a:r>
                  <a:rPr lang="en-US" altLang="ja-JP" baseline="0">
                    <a:solidFill>
                      <a:schemeClr val="tx1"/>
                    </a:solidFill>
                  </a:rPr>
                  <a:t> [MeV/(mg/cm2)]</a:t>
                </a:r>
                <a:endParaRPr lang="ja-JP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7.8316873273380078E-2"/>
              <c:y val="0.4808299271523751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cross"/>
        <c:minorTickMark val="out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b="1">
                <a:solidFill>
                  <a:schemeClr val="tx1"/>
                </a:solidFill>
              </a:defRPr>
            </a:pPr>
            <a:endParaRPr lang="ja-JP"/>
          </a:p>
        </c:txPr>
        <c:crossAx val="682525992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7530353535353535"/>
          <c:y val="0.73524930555555557"/>
          <c:w val="0.24761111111111112"/>
          <c:h val="0.15493819682796106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  <c:showDLblsOverMax val="0"/>
  </c:chart>
  <c:spPr>
    <a:solidFill>
      <a:schemeClr val="bg1"/>
    </a:solidFill>
    <a:ln w="3175">
      <a:noFill/>
    </a:ln>
  </c:spPr>
  <c:txPr>
    <a:bodyPr/>
    <a:lstStyle/>
    <a:p>
      <a:pPr>
        <a:defRPr baseline="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'eg03'!$C$7</c:f>
          <c:strCache>
            <c:ptCount val="1"/>
            <c:pt idx="0">
              <c:v>srim84Kr_Air</c:v>
            </c:pt>
          </c:strCache>
        </c:strRef>
      </c:tx>
      <c:layout>
        <c:manualLayout>
          <c:xMode val="edge"/>
          <c:yMode val="edge"/>
          <c:x val="0.15225454545454545"/>
          <c:y val="3.6567013888888882E-2"/>
        </c:manualLayout>
      </c:layout>
      <c:overlay val="1"/>
      <c:spPr>
        <a:solidFill>
          <a:schemeClr val="bg1"/>
        </a:solidFill>
        <a:ln>
          <a:solidFill>
            <a:srgbClr val="00B050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0907058670898057E-2"/>
          <c:y val="4.1004378353659665E-2"/>
          <c:w val="0.89444707244294086"/>
          <c:h val="0.9081176241858655"/>
        </c:manualLayout>
      </c:layout>
      <c:scatterChart>
        <c:scatterStyle val="lineMarker"/>
        <c:varyColors val="0"/>
        <c:ser>
          <c:idx val="0"/>
          <c:order val="0"/>
          <c:tx>
            <c:v>Range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2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'eg03'!$B$97:$B$177</c:f>
              <c:numCache>
                <c:formatCode>0.0E+00</c:formatCode>
                <c:ptCount val="81"/>
                <c:pt idx="0">
                  <c:v>1.071427380952381E-5</c:v>
                </c:pt>
                <c:pt idx="1">
                  <c:v>2.1428547619047621E-5</c:v>
                </c:pt>
                <c:pt idx="2">
                  <c:v>3.2142821428571435E-5</c:v>
                </c:pt>
                <c:pt idx="3">
                  <c:v>4.2857095238095242E-5</c:v>
                </c:pt>
                <c:pt idx="4">
                  <c:v>5.3571369047619049E-5</c:v>
                </c:pt>
                <c:pt idx="5">
                  <c:v>6.428564285714287E-5</c:v>
                </c:pt>
                <c:pt idx="6">
                  <c:v>7.4999916666666677E-5</c:v>
                </c:pt>
                <c:pt idx="7">
                  <c:v>8.5714190476190484E-5</c:v>
                </c:pt>
                <c:pt idx="8">
                  <c:v>9.6428464285714291E-5</c:v>
                </c:pt>
                <c:pt idx="9">
                  <c:v>1.071427380952381E-4</c:v>
                </c:pt>
                <c:pt idx="10">
                  <c:v>2.142854761904762E-4</c:v>
                </c:pt>
                <c:pt idx="11">
                  <c:v>3.2142821428571435E-4</c:v>
                </c:pt>
                <c:pt idx="12">
                  <c:v>4.2857095238095239E-4</c:v>
                </c:pt>
                <c:pt idx="13">
                  <c:v>5.3571369047619049E-4</c:v>
                </c:pt>
                <c:pt idx="14">
                  <c:v>6.428564285714287E-4</c:v>
                </c:pt>
                <c:pt idx="15">
                  <c:v>7.499991666666668E-4</c:v>
                </c:pt>
                <c:pt idx="16">
                  <c:v>8.5714190476190479E-4</c:v>
                </c:pt>
                <c:pt idx="17">
                  <c:v>9.6428464285714288E-4</c:v>
                </c:pt>
                <c:pt idx="18">
                  <c:v>1.071427380952381E-3</c:v>
                </c:pt>
                <c:pt idx="19">
                  <c:v>2.142854761904762E-3</c:v>
                </c:pt>
                <c:pt idx="20">
                  <c:v>3.2142821428571434E-3</c:v>
                </c:pt>
                <c:pt idx="21">
                  <c:v>4.2857095238095239E-3</c:v>
                </c:pt>
                <c:pt idx="22">
                  <c:v>5.3571369047619045E-3</c:v>
                </c:pt>
                <c:pt idx="23">
                  <c:v>6.4285642857142868E-3</c:v>
                </c:pt>
                <c:pt idx="24">
                  <c:v>7.4999916666666682E-3</c:v>
                </c:pt>
                <c:pt idx="25">
                  <c:v>8.5714190476190479E-3</c:v>
                </c:pt>
                <c:pt idx="26">
                  <c:v>9.6428464285714284E-3</c:v>
                </c:pt>
                <c:pt idx="27">
                  <c:v>1.0714273809523809E-2</c:v>
                </c:pt>
                <c:pt idx="28">
                  <c:v>2.1428547619047618E-2</c:v>
                </c:pt>
                <c:pt idx="29">
                  <c:v>3.214282142857143E-2</c:v>
                </c:pt>
                <c:pt idx="30">
                  <c:v>4.2857095238095236E-2</c:v>
                </c:pt>
                <c:pt idx="31">
                  <c:v>5.3571369047619041E-2</c:v>
                </c:pt>
                <c:pt idx="32">
                  <c:v>6.4285642857142861E-2</c:v>
                </c:pt>
                <c:pt idx="33">
                  <c:v>7.499991666666668E-2</c:v>
                </c:pt>
                <c:pt idx="34">
                  <c:v>8.5714190476190472E-2</c:v>
                </c:pt>
                <c:pt idx="35">
                  <c:v>9.6428464285714277E-2</c:v>
                </c:pt>
                <c:pt idx="36">
                  <c:v>0.10714273809523808</c:v>
                </c:pt>
                <c:pt idx="37">
                  <c:v>0.21428547619047617</c:v>
                </c:pt>
                <c:pt idx="38">
                  <c:v>0.32142821428571433</c:v>
                </c:pt>
                <c:pt idx="39">
                  <c:v>0.42857095238095233</c:v>
                </c:pt>
                <c:pt idx="40">
                  <c:v>0.53571369047619044</c:v>
                </c:pt>
                <c:pt idx="41">
                  <c:v>0.64285642857142866</c:v>
                </c:pt>
                <c:pt idx="42">
                  <c:v>0.74999916666666677</c:v>
                </c:pt>
                <c:pt idx="43">
                  <c:v>0.85714190476190466</c:v>
                </c:pt>
                <c:pt idx="44">
                  <c:v>0.96428464285714277</c:v>
                </c:pt>
                <c:pt idx="45">
                  <c:v>1.0714273809523809</c:v>
                </c:pt>
                <c:pt idx="46">
                  <c:v>2.1428547619047618</c:v>
                </c:pt>
                <c:pt idx="47">
                  <c:v>3.2142821428571433</c:v>
                </c:pt>
                <c:pt idx="48">
                  <c:v>4.2857095238095235</c:v>
                </c:pt>
                <c:pt idx="49">
                  <c:v>5.3571369047619042</c:v>
                </c:pt>
                <c:pt idx="50">
                  <c:v>6.4285642857142866</c:v>
                </c:pt>
                <c:pt idx="51">
                  <c:v>7.4999916666666682</c:v>
                </c:pt>
                <c:pt idx="52">
                  <c:v>8.571419047619047</c:v>
                </c:pt>
                <c:pt idx="53">
                  <c:v>9.6428464285714277</c:v>
                </c:pt>
                <c:pt idx="54">
                  <c:v>10.714273809523808</c:v>
                </c:pt>
                <c:pt idx="55">
                  <c:v>21.428547619047617</c:v>
                </c:pt>
                <c:pt idx="56">
                  <c:v>32.14282142857143</c:v>
                </c:pt>
                <c:pt idx="57">
                  <c:v>42.857095238095233</c:v>
                </c:pt>
                <c:pt idx="58">
                  <c:v>53.571369047619044</c:v>
                </c:pt>
                <c:pt idx="59">
                  <c:v>64.285642857142861</c:v>
                </c:pt>
                <c:pt idx="60">
                  <c:v>74.999916666666678</c:v>
                </c:pt>
                <c:pt idx="61">
                  <c:v>85.714190476190467</c:v>
                </c:pt>
                <c:pt idx="62">
                  <c:v>96.428464285714284</c:v>
                </c:pt>
                <c:pt idx="63">
                  <c:v>107.14273809523809</c:v>
                </c:pt>
                <c:pt idx="64">
                  <c:v>214.28547619047617</c:v>
                </c:pt>
                <c:pt idx="65">
                  <c:v>321.42821428571432</c:v>
                </c:pt>
                <c:pt idx="66">
                  <c:v>428.57095238095235</c:v>
                </c:pt>
                <c:pt idx="67">
                  <c:v>535.71369047619044</c:v>
                </c:pt>
                <c:pt idx="68">
                  <c:v>642.85642857142864</c:v>
                </c:pt>
                <c:pt idx="69">
                  <c:v>749.99916666666672</c:v>
                </c:pt>
                <c:pt idx="70">
                  <c:v>857.1419047619047</c:v>
                </c:pt>
                <c:pt idx="71">
                  <c:v>964.2846428571429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</c:numCache>
            </c:numRef>
          </c:xVal>
          <c:yVal>
            <c:numRef>
              <c:f>'eg03'!$F$97:$F$177</c:f>
              <c:numCache>
                <c:formatCode>0.000.E+00</c:formatCode>
                <c:ptCount val="81"/>
                <c:pt idx="0">
                  <c:v>5.56</c:v>
                </c:pt>
                <c:pt idx="1">
                  <c:v>7.7599958000000004</c:v>
                </c:pt>
                <c:pt idx="2">
                  <c:v>9.5559943600000015</c:v>
                </c:pt>
                <c:pt idx="3">
                  <c:v>11.137993280000002</c:v>
                </c:pt>
                <c:pt idx="4">
                  <c:v>12.589992000000001</c:v>
                </c:pt>
                <c:pt idx="5">
                  <c:v>13.941991120000001</c:v>
                </c:pt>
                <c:pt idx="6">
                  <c:v>15.239990200000001</c:v>
                </c:pt>
                <c:pt idx="7">
                  <c:v>16.477989280000003</c:v>
                </c:pt>
                <c:pt idx="8">
                  <c:v>17.678988390000001</c:v>
                </c:pt>
                <c:pt idx="9">
                  <c:v>18.839987100000002</c:v>
                </c:pt>
                <c:pt idx="10">
                  <c:v>29.3099782</c:v>
                </c:pt>
                <c:pt idx="11">
                  <c:v>38.721969520000002</c:v>
                </c:pt>
                <c:pt idx="12">
                  <c:v>47.651961120000003</c:v>
                </c:pt>
                <c:pt idx="13">
                  <c:v>56.299952199999993</c:v>
                </c:pt>
                <c:pt idx="14">
                  <c:v>64.76394384000001</c:v>
                </c:pt>
                <c:pt idx="15">
                  <c:v>73.127935180000009</c:v>
                </c:pt>
                <c:pt idx="16">
                  <c:v>81.411926719999997</c:v>
                </c:pt>
                <c:pt idx="17">
                  <c:v>89.650918009999998</c:v>
                </c:pt>
                <c:pt idx="18">
                  <c:v>97.849908899999988</c:v>
                </c:pt>
                <c:pt idx="19">
                  <c:v>180.08981299999999</c:v>
                </c:pt>
                <c:pt idx="20">
                  <c:v>271.38168512000004</c:v>
                </c:pt>
                <c:pt idx="21">
                  <c:v>367.53556816000003</c:v>
                </c:pt>
                <c:pt idx="22">
                  <c:v>465.32945499999994</c:v>
                </c:pt>
                <c:pt idx="23">
                  <c:v>564.44533676000015</c:v>
                </c:pt>
                <c:pt idx="24">
                  <c:v>664.76121572000011</c:v>
                </c:pt>
                <c:pt idx="25">
                  <c:v>766.29509015999997</c:v>
                </c:pt>
                <c:pt idx="26">
                  <c:v>868.75396724999985</c:v>
                </c:pt>
                <c:pt idx="27">
                  <c:v>972.02885249999986</c:v>
                </c:pt>
                <c:pt idx="28">
                  <c:v>2009.9975999999997</c:v>
                </c:pt>
                <c:pt idx="29">
                  <c:v>2967.9968800000001</c:v>
                </c:pt>
                <c:pt idx="30">
                  <c:v>3851.9963199999997</c:v>
                </c:pt>
                <c:pt idx="31">
                  <c:v>4649.9956000000002</c:v>
                </c:pt>
                <c:pt idx="32">
                  <c:v>5371.99532</c:v>
                </c:pt>
                <c:pt idx="33">
                  <c:v>6035.9949600000009</c:v>
                </c:pt>
                <c:pt idx="34">
                  <c:v>6635.99496</c:v>
                </c:pt>
                <c:pt idx="35">
                  <c:v>7196.9948699999995</c:v>
                </c:pt>
                <c:pt idx="36">
                  <c:v>7709.9942999999994</c:v>
                </c:pt>
                <c:pt idx="37">
                  <c:v>11289.9938</c:v>
                </c:pt>
                <c:pt idx="38">
                  <c:v>13641.992920000001</c:v>
                </c:pt>
                <c:pt idx="39">
                  <c:v>15579.991999999998</c:v>
                </c:pt>
                <c:pt idx="40">
                  <c:v>17339.990399999999</c:v>
                </c:pt>
                <c:pt idx="41">
                  <c:v>18997.989080000003</c:v>
                </c:pt>
                <c:pt idx="42">
                  <c:v>20607.987680000002</c:v>
                </c:pt>
                <c:pt idx="43">
                  <c:v>22175.986159999997</c:v>
                </c:pt>
                <c:pt idx="44">
                  <c:v>23731.984519999998</c:v>
                </c:pt>
                <c:pt idx="45">
                  <c:v>25279.982799999998</c:v>
                </c:pt>
                <c:pt idx="46">
                  <c:v>40859.964800000002</c:v>
                </c:pt>
                <c:pt idx="47">
                  <c:v>56963.945640000005</c:v>
                </c:pt>
                <c:pt idx="48">
                  <c:v>73561.925119999985</c:v>
                </c:pt>
                <c:pt idx="49">
                  <c:v>90679.90419999999</c:v>
                </c:pt>
                <c:pt idx="50">
                  <c:v>108425.88036000001</c:v>
                </c:pt>
                <c:pt idx="51">
                  <c:v>126851.85412000003</c:v>
                </c:pt>
                <c:pt idx="52">
                  <c:v>146105.82295999999</c:v>
                </c:pt>
                <c:pt idx="53">
                  <c:v>166137.79048</c:v>
                </c:pt>
                <c:pt idx="54">
                  <c:v>187089.7672</c:v>
                </c:pt>
                <c:pt idx="55">
                  <c:v>457839.2844</c:v>
                </c:pt>
                <c:pt idx="56">
                  <c:v>832374.64015999995</c:v>
                </c:pt>
                <c:pt idx="57">
                  <c:v>1295997.7599999998</c:v>
                </c:pt>
                <c:pt idx="58">
                  <c:v>1839996.9</c:v>
                </c:pt>
                <c:pt idx="59">
                  <c:v>2475995.56</c:v>
                </c:pt>
                <c:pt idx="60">
                  <c:v>3185994.2600000007</c:v>
                </c:pt>
                <c:pt idx="61">
                  <c:v>3977992.4799999995</c:v>
                </c:pt>
                <c:pt idx="62">
                  <c:v>4832990.7299999995</c:v>
                </c:pt>
                <c:pt idx="63">
                  <c:v>5759989.6999999993</c:v>
                </c:pt>
                <c:pt idx="64">
                  <c:v>18389966.599999998</c:v>
                </c:pt>
                <c:pt idx="65">
                  <c:v>35803936.640000001</c:v>
                </c:pt>
                <c:pt idx="66">
                  <c:v>56645900.959999986</c:v>
                </c:pt>
                <c:pt idx="67">
                  <c:v>79999867.400000006</c:v>
                </c:pt>
                <c:pt idx="68">
                  <c:v>105327827.68000001</c:v>
                </c:pt>
                <c:pt idx="69">
                  <c:v>132097787.48</c:v>
                </c:pt>
                <c:pt idx="70">
                  <c:v>160031745.51999998</c:v>
                </c:pt>
                <c:pt idx="71">
                  <c:v>188724707.95000002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26-48DD-B460-175E217C05B9}"/>
            </c:ext>
          </c:extLst>
        </c:ser>
        <c:ser>
          <c:idx val="1"/>
          <c:order val="1"/>
          <c:tx>
            <c:v>Stragg. Long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'eg03'!$B$97:$B$177</c:f>
              <c:numCache>
                <c:formatCode>0.0E+00</c:formatCode>
                <c:ptCount val="81"/>
                <c:pt idx="0">
                  <c:v>1.071427380952381E-5</c:v>
                </c:pt>
                <c:pt idx="1">
                  <c:v>2.1428547619047621E-5</c:v>
                </c:pt>
                <c:pt idx="2">
                  <c:v>3.2142821428571435E-5</c:v>
                </c:pt>
                <c:pt idx="3">
                  <c:v>4.2857095238095242E-5</c:v>
                </c:pt>
                <c:pt idx="4">
                  <c:v>5.3571369047619049E-5</c:v>
                </c:pt>
                <c:pt idx="5">
                  <c:v>6.428564285714287E-5</c:v>
                </c:pt>
                <c:pt idx="6">
                  <c:v>7.4999916666666677E-5</c:v>
                </c:pt>
                <c:pt idx="7">
                  <c:v>8.5714190476190484E-5</c:v>
                </c:pt>
                <c:pt idx="8">
                  <c:v>9.6428464285714291E-5</c:v>
                </c:pt>
                <c:pt idx="9">
                  <c:v>1.071427380952381E-4</c:v>
                </c:pt>
                <c:pt idx="10">
                  <c:v>2.142854761904762E-4</c:v>
                </c:pt>
                <c:pt idx="11">
                  <c:v>3.2142821428571435E-4</c:v>
                </c:pt>
                <c:pt idx="12">
                  <c:v>4.2857095238095239E-4</c:v>
                </c:pt>
                <c:pt idx="13">
                  <c:v>5.3571369047619049E-4</c:v>
                </c:pt>
                <c:pt idx="14">
                  <c:v>6.428564285714287E-4</c:v>
                </c:pt>
                <c:pt idx="15">
                  <c:v>7.499991666666668E-4</c:v>
                </c:pt>
                <c:pt idx="16">
                  <c:v>8.5714190476190479E-4</c:v>
                </c:pt>
                <c:pt idx="17">
                  <c:v>9.6428464285714288E-4</c:v>
                </c:pt>
                <c:pt idx="18">
                  <c:v>1.071427380952381E-3</c:v>
                </c:pt>
                <c:pt idx="19">
                  <c:v>2.142854761904762E-3</c:v>
                </c:pt>
                <c:pt idx="20">
                  <c:v>3.2142821428571434E-3</c:v>
                </c:pt>
                <c:pt idx="21">
                  <c:v>4.2857095238095239E-3</c:v>
                </c:pt>
                <c:pt idx="22">
                  <c:v>5.3571369047619045E-3</c:v>
                </c:pt>
                <c:pt idx="23">
                  <c:v>6.4285642857142868E-3</c:v>
                </c:pt>
                <c:pt idx="24">
                  <c:v>7.4999916666666682E-3</c:v>
                </c:pt>
                <c:pt idx="25">
                  <c:v>8.5714190476190479E-3</c:v>
                </c:pt>
                <c:pt idx="26">
                  <c:v>9.6428464285714284E-3</c:v>
                </c:pt>
                <c:pt idx="27">
                  <c:v>1.0714273809523809E-2</c:v>
                </c:pt>
                <c:pt idx="28">
                  <c:v>2.1428547619047618E-2</c:v>
                </c:pt>
                <c:pt idx="29">
                  <c:v>3.214282142857143E-2</c:v>
                </c:pt>
                <c:pt idx="30">
                  <c:v>4.2857095238095236E-2</c:v>
                </c:pt>
                <c:pt idx="31">
                  <c:v>5.3571369047619041E-2</c:v>
                </c:pt>
                <c:pt idx="32">
                  <c:v>6.4285642857142861E-2</c:v>
                </c:pt>
                <c:pt idx="33">
                  <c:v>7.499991666666668E-2</c:v>
                </c:pt>
                <c:pt idx="34">
                  <c:v>8.5714190476190472E-2</c:v>
                </c:pt>
                <c:pt idx="35">
                  <c:v>9.6428464285714277E-2</c:v>
                </c:pt>
                <c:pt idx="36">
                  <c:v>0.10714273809523808</c:v>
                </c:pt>
                <c:pt idx="37">
                  <c:v>0.21428547619047617</c:v>
                </c:pt>
                <c:pt idx="38">
                  <c:v>0.32142821428571433</c:v>
                </c:pt>
                <c:pt idx="39">
                  <c:v>0.42857095238095233</c:v>
                </c:pt>
                <c:pt idx="40">
                  <c:v>0.53571369047619044</c:v>
                </c:pt>
                <c:pt idx="41">
                  <c:v>0.64285642857142866</c:v>
                </c:pt>
                <c:pt idx="42">
                  <c:v>0.74999916666666677</c:v>
                </c:pt>
                <c:pt idx="43">
                  <c:v>0.85714190476190466</c:v>
                </c:pt>
                <c:pt idx="44">
                  <c:v>0.96428464285714277</c:v>
                </c:pt>
                <c:pt idx="45">
                  <c:v>1.0714273809523809</c:v>
                </c:pt>
                <c:pt idx="46">
                  <c:v>2.1428547619047618</c:v>
                </c:pt>
                <c:pt idx="47">
                  <c:v>3.2142821428571433</c:v>
                </c:pt>
                <c:pt idx="48">
                  <c:v>4.2857095238095235</c:v>
                </c:pt>
                <c:pt idx="49">
                  <c:v>5.3571369047619042</c:v>
                </c:pt>
                <c:pt idx="50">
                  <c:v>6.4285642857142866</c:v>
                </c:pt>
                <c:pt idx="51">
                  <c:v>7.4999916666666682</c:v>
                </c:pt>
                <c:pt idx="52">
                  <c:v>8.571419047619047</c:v>
                </c:pt>
                <c:pt idx="53">
                  <c:v>9.6428464285714277</c:v>
                </c:pt>
                <c:pt idx="54">
                  <c:v>10.714273809523808</c:v>
                </c:pt>
                <c:pt idx="55">
                  <c:v>21.428547619047617</c:v>
                </c:pt>
                <c:pt idx="56">
                  <c:v>32.14282142857143</c:v>
                </c:pt>
                <c:pt idx="57">
                  <c:v>42.857095238095233</c:v>
                </c:pt>
                <c:pt idx="58">
                  <c:v>53.571369047619044</c:v>
                </c:pt>
                <c:pt idx="59">
                  <c:v>64.285642857142861</c:v>
                </c:pt>
                <c:pt idx="60">
                  <c:v>74.999916666666678</c:v>
                </c:pt>
                <c:pt idx="61">
                  <c:v>85.714190476190467</c:v>
                </c:pt>
                <c:pt idx="62">
                  <c:v>96.428464285714284</c:v>
                </c:pt>
                <c:pt idx="63">
                  <c:v>107.14273809523809</c:v>
                </c:pt>
                <c:pt idx="64">
                  <c:v>214.28547619047617</c:v>
                </c:pt>
                <c:pt idx="65">
                  <c:v>321.42821428571432</c:v>
                </c:pt>
                <c:pt idx="66">
                  <c:v>428.57095238095235</c:v>
                </c:pt>
                <c:pt idx="67">
                  <c:v>535.71369047619044</c:v>
                </c:pt>
                <c:pt idx="68">
                  <c:v>642.85642857142864</c:v>
                </c:pt>
                <c:pt idx="69">
                  <c:v>749.99916666666672</c:v>
                </c:pt>
                <c:pt idx="70">
                  <c:v>857.1419047619047</c:v>
                </c:pt>
                <c:pt idx="71">
                  <c:v>964.2846428571429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</c:numCache>
            </c:numRef>
          </c:xVal>
          <c:yVal>
            <c:numRef>
              <c:f>'eg03'!$G$97:$G$177</c:f>
              <c:numCache>
                <c:formatCode>0.000.E+00</c:formatCode>
                <c:ptCount val="81"/>
                <c:pt idx="0">
                  <c:v>1.72</c:v>
                </c:pt>
                <c:pt idx="1">
                  <c:v>2.3099988000000002</c:v>
                </c:pt>
                <c:pt idx="2">
                  <c:v>2.7659985600000003</c:v>
                </c:pt>
                <c:pt idx="3">
                  <c:v>3.1499983999999999</c:v>
                </c:pt>
                <c:pt idx="4">
                  <c:v>3.4899981000000002</c:v>
                </c:pt>
                <c:pt idx="5">
                  <c:v>3.7959979600000002</c:v>
                </c:pt>
                <c:pt idx="6">
                  <c:v>4.0959977600000004</c:v>
                </c:pt>
                <c:pt idx="7">
                  <c:v>4.3679976800000002</c:v>
                </c:pt>
                <c:pt idx="8">
                  <c:v>4.6279974799999994</c:v>
                </c:pt>
                <c:pt idx="9">
                  <c:v>4.8799972</c:v>
                </c:pt>
                <c:pt idx="10">
                  <c:v>7.0499955999999999</c:v>
                </c:pt>
                <c:pt idx="11">
                  <c:v>8.9019941200000012</c:v>
                </c:pt>
                <c:pt idx="12">
                  <c:v>10.599992799999999</c:v>
                </c:pt>
                <c:pt idx="13">
                  <c:v>12.2099911</c:v>
                </c:pt>
                <c:pt idx="14">
                  <c:v>13.749989800000002</c:v>
                </c:pt>
                <c:pt idx="15">
                  <c:v>15.251988520000001</c:v>
                </c:pt>
                <c:pt idx="16">
                  <c:v>16.701987119999998</c:v>
                </c:pt>
                <c:pt idx="17">
                  <c:v>18.146985869999998</c:v>
                </c:pt>
                <c:pt idx="18">
                  <c:v>19.5599843</c:v>
                </c:pt>
                <c:pt idx="19">
                  <c:v>32.799970999999999</c:v>
                </c:pt>
                <c:pt idx="20">
                  <c:v>46.849952600000009</c:v>
                </c:pt>
                <c:pt idx="21">
                  <c:v>60.729939999999999</c:v>
                </c:pt>
                <c:pt idx="22">
                  <c:v>74.089925899999997</c:v>
                </c:pt>
                <c:pt idx="23">
                  <c:v>86.871916120000009</c:v>
                </c:pt>
                <c:pt idx="24">
                  <c:v>99.085906760000015</c:v>
                </c:pt>
                <c:pt idx="25">
                  <c:v>110.89389504</c:v>
                </c:pt>
                <c:pt idx="26">
                  <c:v>122.64488704999999</c:v>
                </c:pt>
                <c:pt idx="27">
                  <c:v>133.9398745</c:v>
                </c:pt>
                <c:pt idx="28">
                  <c:v>226.11982760000001</c:v>
                </c:pt>
                <c:pt idx="29">
                  <c:v>294.61380284000001</c:v>
                </c:pt>
                <c:pt idx="30">
                  <c:v>343.83781407999999</c:v>
                </c:pt>
                <c:pt idx="31">
                  <c:v>383.08978449999995</c:v>
                </c:pt>
                <c:pt idx="32">
                  <c:v>414.50180692000004</c:v>
                </c:pt>
                <c:pt idx="33">
                  <c:v>439.1898271</c:v>
                </c:pt>
                <c:pt idx="34">
                  <c:v>459.50182152000002</c:v>
                </c:pt>
                <c:pt idx="35">
                  <c:v>479.12384034000002</c:v>
                </c:pt>
                <c:pt idx="36">
                  <c:v>495.08982259999999</c:v>
                </c:pt>
                <c:pt idx="37">
                  <c:v>567.14991459999999</c:v>
                </c:pt>
                <c:pt idx="38">
                  <c:v>606.39589655999998</c:v>
                </c:pt>
                <c:pt idx="39">
                  <c:v>631.03990799999997</c:v>
                </c:pt>
                <c:pt idx="40">
                  <c:v>656.71983120000004</c:v>
                </c:pt>
                <c:pt idx="41">
                  <c:v>683.3578300800001</c:v>
                </c:pt>
                <c:pt idx="42">
                  <c:v>707.04582346000007</c:v>
                </c:pt>
                <c:pt idx="43">
                  <c:v>732.69165871999996</c:v>
                </c:pt>
                <c:pt idx="44">
                  <c:v>770.77864369000008</c:v>
                </c:pt>
                <c:pt idx="45">
                  <c:v>806.40960409999991</c:v>
                </c:pt>
                <c:pt idx="46">
                  <c:v>1099.9993999999999</c:v>
                </c:pt>
                <c:pt idx="47">
                  <c:v>1613.9984400000003</c:v>
                </c:pt>
                <c:pt idx="48">
                  <c:v>2039.9983999999997</c:v>
                </c:pt>
                <c:pt idx="49">
                  <c:v>2589.9962</c:v>
                </c:pt>
                <c:pt idx="50">
                  <c:v>3195.9961600000006</c:v>
                </c:pt>
                <c:pt idx="51">
                  <c:v>3743.9959400000007</c:v>
                </c:pt>
                <c:pt idx="52">
                  <c:v>4359.9915999999994</c:v>
                </c:pt>
                <c:pt idx="53">
                  <c:v>5295.9913599999991</c:v>
                </c:pt>
                <c:pt idx="54">
                  <c:v>6159.9903999999997</c:v>
                </c:pt>
                <c:pt idx="55">
                  <c:v>14269.981399999999</c:v>
                </c:pt>
                <c:pt idx="56">
                  <c:v>30919.947799999998</c:v>
                </c:pt>
                <c:pt idx="57">
                  <c:v>46291.931519999991</c:v>
                </c:pt>
                <c:pt idx="58">
                  <c:v>69419.837399999989</c:v>
                </c:pt>
                <c:pt idx="59">
                  <c:v>96273.824439999997</c:v>
                </c:pt>
                <c:pt idx="60">
                  <c:v>122119.80050000003</c:v>
                </c:pt>
                <c:pt idx="61">
                  <c:v>152579.57839999997</c:v>
                </c:pt>
                <c:pt idx="62">
                  <c:v>199570.56521</c:v>
                </c:pt>
                <c:pt idx="63">
                  <c:v>243049.51689999999</c:v>
                </c:pt>
                <c:pt idx="64">
                  <c:v>647959.10820000002</c:v>
                </c:pt>
                <c:pt idx="65">
                  <c:v>1429997.6</c:v>
                </c:pt>
                <c:pt idx="66">
                  <c:v>2111997.1199999996</c:v>
                </c:pt>
                <c:pt idx="67">
                  <c:v>3039993.6</c:v>
                </c:pt>
                <c:pt idx="68">
                  <c:v>4043993.6400000006</c:v>
                </c:pt>
                <c:pt idx="69">
                  <c:v>4931993.42</c:v>
                </c:pt>
                <c:pt idx="70">
                  <c:v>5887987.2799999984</c:v>
                </c:pt>
                <c:pt idx="71">
                  <c:v>7217494.8250000002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26-48DD-B460-175E217C05B9}"/>
            </c:ext>
          </c:extLst>
        </c:ser>
        <c:ser>
          <c:idx val="2"/>
          <c:order val="2"/>
          <c:tx>
            <c:v>Stragg.Lateral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'eg03'!$B$97:$B$177</c:f>
              <c:numCache>
                <c:formatCode>0.0E+00</c:formatCode>
                <c:ptCount val="81"/>
                <c:pt idx="0">
                  <c:v>1.071427380952381E-5</c:v>
                </c:pt>
                <c:pt idx="1">
                  <c:v>2.1428547619047621E-5</c:v>
                </c:pt>
                <c:pt idx="2">
                  <c:v>3.2142821428571435E-5</c:v>
                </c:pt>
                <c:pt idx="3">
                  <c:v>4.2857095238095242E-5</c:v>
                </c:pt>
                <c:pt idx="4">
                  <c:v>5.3571369047619049E-5</c:v>
                </c:pt>
                <c:pt idx="5">
                  <c:v>6.428564285714287E-5</c:v>
                </c:pt>
                <c:pt idx="6">
                  <c:v>7.4999916666666677E-5</c:v>
                </c:pt>
                <c:pt idx="7">
                  <c:v>8.5714190476190484E-5</c:v>
                </c:pt>
                <c:pt idx="8">
                  <c:v>9.6428464285714291E-5</c:v>
                </c:pt>
                <c:pt idx="9">
                  <c:v>1.071427380952381E-4</c:v>
                </c:pt>
                <c:pt idx="10">
                  <c:v>2.142854761904762E-4</c:v>
                </c:pt>
                <c:pt idx="11">
                  <c:v>3.2142821428571435E-4</c:v>
                </c:pt>
                <c:pt idx="12">
                  <c:v>4.2857095238095239E-4</c:v>
                </c:pt>
                <c:pt idx="13">
                  <c:v>5.3571369047619049E-4</c:v>
                </c:pt>
                <c:pt idx="14">
                  <c:v>6.428564285714287E-4</c:v>
                </c:pt>
                <c:pt idx="15">
                  <c:v>7.499991666666668E-4</c:v>
                </c:pt>
                <c:pt idx="16">
                  <c:v>8.5714190476190479E-4</c:v>
                </c:pt>
                <c:pt idx="17">
                  <c:v>9.6428464285714288E-4</c:v>
                </c:pt>
                <c:pt idx="18">
                  <c:v>1.071427380952381E-3</c:v>
                </c:pt>
                <c:pt idx="19">
                  <c:v>2.142854761904762E-3</c:v>
                </c:pt>
                <c:pt idx="20">
                  <c:v>3.2142821428571434E-3</c:v>
                </c:pt>
                <c:pt idx="21">
                  <c:v>4.2857095238095239E-3</c:v>
                </c:pt>
                <c:pt idx="22">
                  <c:v>5.3571369047619045E-3</c:v>
                </c:pt>
                <c:pt idx="23">
                  <c:v>6.4285642857142868E-3</c:v>
                </c:pt>
                <c:pt idx="24">
                  <c:v>7.4999916666666682E-3</c:v>
                </c:pt>
                <c:pt idx="25">
                  <c:v>8.5714190476190479E-3</c:v>
                </c:pt>
                <c:pt idx="26">
                  <c:v>9.6428464285714284E-3</c:v>
                </c:pt>
                <c:pt idx="27">
                  <c:v>1.0714273809523809E-2</c:v>
                </c:pt>
                <c:pt idx="28">
                  <c:v>2.1428547619047618E-2</c:v>
                </c:pt>
                <c:pt idx="29">
                  <c:v>3.214282142857143E-2</c:v>
                </c:pt>
                <c:pt idx="30">
                  <c:v>4.2857095238095236E-2</c:v>
                </c:pt>
                <c:pt idx="31">
                  <c:v>5.3571369047619041E-2</c:v>
                </c:pt>
                <c:pt idx="32">
                  <c:v>6.4285642857142861E-2</c:v>
                </c:pt>
                <c:pt idx="33">
                  <c:v>7.499991666666668E-2</c:v>
                </c:pt>
                <c:pt idx="34">
                  <c:v>8.5714190476190472E-2</c:v>
                </c:pt>
                <c:pt idx="35">
                  <c:v>9.6428464285714277E-2</c:v>
                </c:pt>
                <c:pt idx="36">
                  <c:v>0.10714273809523808</c:v>
                </c:pt>
                <c:pt idx="37">
                  <c:v>0.21428547619047617</c:v>
                </c:pt>
                <c:pt idx="38">
                  <c:v>0.32142821428571433</c:v>
                </c:pt>
                <c:pt idx="39">
                  <c:v>0.42857095238095233</c:v>
                </c:pt>
                <c:pt idx="40">
                  <c:v>0.53571369047619044</c:v>
                </c:pt>
                <c:pt idx="41">
                  <c:v>0.64285642857142866</c:v>
                </c:pt>
                <c:pt idx="42">
                  <c:v>0.74999916666666677</c:v>
                </c:pt>
                <c:pt idx="43">
                  <c:v>0.85714190476190466</c:v>
                </c:pt>
                <c:pt idx="44">
                  <c:v>0.96428464285714277</c:v>
                </c:pt>
                <c:pt idx="45">
                  <c:v>1.0714273809523809</c:v>
                </c:pt>
                <c:pt idx="46">
                  <c:v>2.1428547619047618</c:v>
                </c:pt>
                <c:pt idx="47">
                  <c:v>3.2142821428571433</c:v>
                </c:pt>
                <c:pt idx="48">
                  <c:v>4.2857095238095235</c:v>
                </c:pt>
                <c:pt idx="49">
                  <c:v>5.3571369047619042</c:v>
                </c:pt>
                <c:pt idx="50">
                  <c:v>6.4285642857142866</c:v>
                </c:pt>
                <c:pt idx="51">
                  <c:v>7.4999916666666682</c:v>
                </c:pt>
                <c:pt idx="52">
                  <c:v>8.571419047619047</c:v>
                </c:pt>
                <c:pt idx="53">
                  <c:v>9.6428464285714277</c:v>
                </c:pt>
                <c:pt idx="54">
                  <c:v>10.714273809523808</c:v>
                </c:pt>
                <c:pt idx="55">
                  <c:v>21.428547619047617</c:v>
                </c:pt>
                <c:pt idx="56">
                  <c:v>32.14282142857143</c:v>
                </c:pt>
                <c:pt idx="57">
                  <c:v>42.857095238095233</c:v>
                </c:pt>
                <c:pt idx="58">
                  <c:v>53.571369047619044</c:v>
                </c:pt>
                <c:pt idx="59">
                  <c:v>64.285642857142861</c:v>
                </c:pt>
                <c:pt idx="60">
                  <c:v>74.999916666666678</c:v>
                </c:pt>
                <c:pt idx="61">
                  <c:v>85.714190476190467</c:v>
                </c:pt>
                <c:pt idx="62">
                  <c:v>96.428464285714284</c:v>
                </c:pt>
                <c:pt idx="63">
                  <c:v>107.14273809523809</c:v>
                </c:pt>
                <c:pt idx="64">
                  <c:v>214.28547619047617</c:v>
                </c:pt>
                <c:pt idx="65">
                  <c:v>321.42821428571432</c:v>
                </c:pt>
                <c:pt idx="66">
                  <c:v>428.57095238095235</c:v>
                </c:pt>
                <c:pt idx="67">
                  <c:v>535.71369047619044</c:v>
                </c:pt>
                <c:pt idx="68">
                  <c:v>642.85642857142864</c:v>
                </c:pt>
                <c:pt idx="69">
                  <c:v>749.99916666666672</c:v>
                </c:pt>
                <c:pt idx="70">
                  <c:v>857.1419047619047</c:v>
                </c:pt>
                <c:pt idx="71">
                  <c:v>964.2846428571429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</c:numCache>
            </c:numRef>
          </c:xVal>
          <c:yVal>
            <c:numRef>
              <c:f>'eg03'!$H$97:$H$177</c:f>
              <c:numCache>
                <c:formatCode>0.000.E+00</c:formatCode>
                <c:ptCount val="81"/>
                <c:pt idx="0">
                  <c:v>1.24</c:v>
                </c:pt>
                <c:pt idx="1">
                  <c:v>1.689999</c:v>
                </c:pt>
                <c:pt idx="2">
                  <c:v>2.0419989200000002</c:v>
                </c:pt>
                <c:pt idx="3">
                  <c:v>2.3559985600000002</c:v>
                </c:pt>
                <c:pt idx="4">
                  <c:v>2.6399984000000001</c:v>
                </c:pt>
                <c:pt idx="5">
                  <c:v>2.9019983200000006</c:v>
                </c:pt>
                <c:pt idx="6">
                  <c:v>3.1439980400000005</c:v>
                </c:pt>
                <c:pt idx="7">
                  <c:v>3.3799980000000005</c:v>
                </c:pt>
                <c:pt idx="8">
                  <c:v>3.6039978400000003</c:v>
                </c:pt>
                <c:pt idx="9">
                  <c:v>3.8199976000000002</c:v>
                </c:pt>
                <c:pt idx="10">
                  <c:v>5.6899962000000004</c:v>
                </c:pt>
                <c:pt idx="11">
                  <c:v>7.3039948400000005</c:v>
                </c:pt>
                <c:pt idx="12">
                  <c:v>8.7799935999999992</c:v>
                </c:pt>
                <c:pt idx="13">
                  <c:v>10.1699924</c:v>
                </c:pt>
                <c:pt idx="14">
                  <c:v>11.511991120000001</c:v>
                </c:pt>
                <c:pt idx="15">
                  <c:v>12.805990060000001</c:v>
                </c:pt>
                <c:pt idx="16">
                  <c:v>14.065988959999999</c:v>
                </c:pt>
                <c:pt idx="17">
                  <c:v>15.30498785</c:v>
                </c:pt>
                <c:pt idx="18">
                  <c:v>16.519986499999998</c:v>
                </c:pt>
                <c:pt idx="19">
                  <c:v>27.999974999999999</c:v>
                </c:pt>
                <c:pt idx="20">
                  <c:v>39.713960040000011</c:v>
                </c:pt>
                <c:pt idx="21">
                  <c:v>51.879945600000006</c:v>
                </c:pt>
                <c:pt idx="22">
                  <c:v>64.119932000000006</c:v>
                </c:pt>
                <c:pt idx="23">
                  <c:v>76.299919000000017</c:v>
                </c:pt>
                <c:pt idx="24">
                  <c:v>88.367906480000016</c:v>
                </c:pt>
                <c:pt idx="25">
                  <c:v>100.31789448000001</c:v>
                </c:pt>
                <c:pt idx="26">
                  <c:v>112.17188281999999</c:v>
                </c:pt>
                <c:pt idx="27">
                  <c:v>123.8898698</c:v>
                </c:pt>
                <c:pt idx="28">
                  <c:v>231.3497812</c:v>
                </c:pt>
                <c:pt idx="29">
                  <c:v>318.40173612000001</c:v>
                </c:pt>
                <c:pt idx="30">
                  <c:v>388.10372383999999</c:v>
                </c:pt>
                <c:pt idx="31">
                  <c:v>444.68970049999996</c:v>
                </c:pt>
                <c:pt idx="32">
                  <c:v>490.81571056000001</c:v>
                </c:pt>
                <c:pt idx="33">
                  <c:v>529.22372433999999</c:v>
                </c:pt>
                <c:pt idx="34">
                  <c:v>561.15575176000004</c:v>
                </c:pt>
                <c:pt idx="35">
                  <c:v>588.57076681000001</c:v>
                </c:pt>
                <c:pt idx="36">
                  <c:v>611.88974089999999</c:v>
                </c:pt>
                <c:pt idx="37">
                  <c:v>730.8798458</c:v>
                </c:pt>
                <c:pt idx="38">
                  <c:v>777.59588156000007</c:v>
                </c:pt>
                <c:pt idx="39">
                  <c:v>805.05190112000003</c:v>
                </c:pt>
                <c:pt idx="40">
                  <c:v>824.529899</c:v>
                </c:pt>
                <c:pt idx="41">
                  <c:v>839.67190532000006</c:v>
                </c:pt>
                <c:pt idx="42">
                  <c:v>852.34790787999998</c:v>
                </c:pt>
                <c:pt idx="43">
                  <c:v>863.30391104</c:v>
                </c:pt>
                <c:pt idx="44">
                  <c:v>873.20290972999999</c:v>
                </c:pt>
                <c:pt idx="45">
                  <c:v>882.22989970000003</c:v>
                </c:pt>
                <c:pt idx="46">
                  <c:v>951.39986579999993</c:v>
                </c:pt>
                <c:pt idx="47">
                  <c:v>1007.08382504</c:v>
                </c:pt>
                <c:pt idx="48">
                  <c:v>1057.9996799999999</c:v>
                </c:pt>
                <c:pt idx="49">
                  <c:v>1109.9997000000001</c:v>
                </c:pt>
                <c:pt idx="50">
                  <c:v>1163.99964</c:v>
                </c:pt>
                <c:pt idx="51">
                  <c:v>1207.9995800000002</c:v>
                </c:pt>
                <c:pt idx="52">
                  <c:v>1261.9995199999998</c:v>
                </c:pt>
                <c:pt idx="53">
                  <c:v>1316.99937</c:v>
                </c:pt>
                <c:pt idx="54">
                  <c:v>1379.9992999999999</c:v>
                </c:pt>
                <c:pt idx="55">
                  <c:v>2119.998</c:v>
                </c:pt>
                <c:pt idx="56">
                  <c:v>3193.99604</c:v>
                </c:pt>
                <c:pt idx="57">
                  <c:v>4509.9935999999998</c:v>
                </c:pt>
                <c:pt idx="58">
                  <c:v>6059.9910999999993</c:v>
                </c:pt>
                <c:pt idx="59">
                  <c:v>7835.9877599999991</c:v>
                </c:pt>
                <c:pt idx="60">
                  <c:v>9803.984040000003</c:v>
                </c:pt>
                <c:pt idx="61">
                  <c:v>11969.979599999999</c:v>
                </c:pt>
                <c:pt idx="62">
                  <c:v>14285.975159999998</c:v>
                </c:pt>
                <c:pt idx="63">
                  <c:v>16769.972399999999</c:v>
                </c:pt>
                <c:pt idx="64">
                  <c:v>49159.916799999999</c:v>
                </c:pt>
                <c:pt idx="65">
                  <c:v>91197.850480000008</c:v>
                </c:pt>
                <c:pt idx="66">
                  <c:v>138901.77871999997</c:v>
                </c:pt>
                <c:pt idx="67">
                  <c:v>189899.71350000001</c:v>
                </c:pt>
                <c:pt idx="68">
                  <c:v>242747.64528000003</c:v>
                </c:pt>
                <c:pt idx="69">
                  <c:v>296345.58195999998</c:v>
                </c:pt>
                <c:pt idx="70">
                  <c:v>350041.52431999997</c:v>
                </c:pt>
                <c:pt idx="71">
                  <c:v>403506.96922500001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26-48DD-B460-175E217C0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528344"/>
        <c:axId val="682529520"/>
      </c:scatterChart>
      <c:valAx>
        <c:axId val="682528344"/>
        <c:scaling>
          <c:logBase val="10"/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</c:majorGridlines>
        <c:minorGridlines>
          <c:spPr>
            <a:ln>
              <a:solidFill>
                <a:srgbClr val="CCECFF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</a:t>
                </a:r>
                <a:r>
                  <a:rPr lang="en-US" baseline="0"/>
                  <a:t> beam</a:t>
                </a:r>
                <a:r>
                  <a:rPr lang="en-US"/>
                  <a:t> [MeV/A]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70794318181818183"/>
              <c:y val="0.8515055555555555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cross"/>
        <c:minorTickMark val="in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682529520"/>
        <c:crosses val="autoZero"/>
        <c:crossBetween val="midCat"/>
      </c:valAx>
      <c:valAx>
        <c:axId val="682529520"/>
        <c:scaling>
          <c:logBase val="10"/>
          <c:orientation val="minMax"/>
        </c:scaling>
        <c:delete val="0"/>
        <c:axPos val="l"/>
        <c:majorGridlines>
          <c:spPr>
            <a:ln w="12700">
              <a:solidFill>
                <a:schemeClr val="tx2"/>
              </a:solidFill>
              <a:prstDash val="sysDash"/>
            </a:ln>
          </c:spPr>
        </c:majorGridlines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Range, Straggling [</a:t>
                </a:r>
                <a:r>
                  <a:rPr lang="en-US" altLang="ja-JP">
                    <a:solidFill>
                      <a:schemeClr val="tx1"/>
                    </a:solidFill>
                  </a:rPr>
                  <a:t>μm]</a:t>
                </a:r>
                <a:endParaRPr lang="ja-JP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7.6543181818181816E-2"/>
              <c:y val="2.9769097222222218E-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cross"/>
        <c:minorTickMark val="out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b="1">
                <a:solidFill>
                  <a:schemeClr val="tx1"/>
                </a:solidFill>
              </a:defRPr>
            </a:pPr>
            <a:endParaRPr lang="ja-JP"/>
          </a:p>
        </c:txPr>
        <c:crossAx val="682528344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5482146464646462"/>
          <c:y val="0.35566319444444444"/>
          <c:w val="0.30918611111111111"/>
          <c:h val="0.15190154848491033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  <c:showDLblsOverMax val="0"/>
  </c:chart>
  <c:spPr>
    <a:solidFill>
      <a:schemeClr val="bg1"/>
    </a:solidFill>
    <a:ln w="3175">
      <a:noFill/>
    </a:ln>
  </c:spPr>
  <c:txPr>
    <a:bodyPr/>
    <a:lstStyle/>
    <a:p>
      <a:pPr>
        <a:defRPr baseline="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35720</xdr:colOff>
      <xdr:row>16</xdr:row>
      <xdr:rowOff>95248</xdr:rowOff>
    </xdr:from>
    <xdr:to>
      <xdr:col>16</xdr:col>
      <xdr:colOff>390032</xdr:colOff>
      <xdr:row>27</xdr:row>
      <xdr:rowOff>52156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1" y="2893217"/>
          <a:ext cx="3961905" cy="1838095"/>
        </a:xfrm>
        <a:prstGeom prst="rect">
          <a:avLst/>
        </a:prstGeom>
      </xdr:spPr>
    </xdr:pic>
    <xdr:clientData/>
  </xdr:twoCellAnchor>
  <xdr:twoCellAnchor editAs="oneCell">
    <xdr:from>
      <xdr:col>8</xdr:col>
      <xdr:colOff>46410</xdr:colOff>
      <xdr:row>0</xdr:row>
      <xdr:rowOff>35719</xdr:rowOff>
    </xdr:from>
    <xdr:to>
      <xdr:col>13</xdr:col>
      <xdr:colOff>461710</xdr:colOff>
      <xdr:row>12</xdr:row>
      <xdr:rowOff>153474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1160" y="35719"/>
          <a:ext cx="2574300" cy="23085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451622</xdr:colOff>
      <xdr:row>2</xdr:row>
      <xdr:rowOff>192152</xdr:rowOff>
    </xdr:from>
    <xdr:to>
      <xdr:col>19</xdr:col>
      <xdr:colOff>28745</xdr:colOff>
      <xdr:row>11</xdr:row>
      <xdr:rowOff>74717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784CD33-BBF7-7946-B15C-69F01BE8A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5882" y="481712"/>
          <a:ext cx="2922303" cy="16123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15379</xdr:colOff>
      <xdr:row>1</xdr:row>
      <xdr:rowOff>124101</xdr:rowOff>
    </xdr:from>
    <xdr:to>
      <xdr:col>17</xdr:col>
      <xdr:colOff>500030</xdr:colOff>
      <xdr:row>10</xdr:row>
      <xdr:rowOff>4085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A7F2D2D-7797-47A5-86E0-9936A6126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179" y="238401"/>
          <a:ext cx="2831611" cy="1617344"/>
        </a:xfrm>
        <a:prstGeom prst="rect">
          <a:avLst/>
        </a:prstGeom>
      </xdr:spPr>
    </xdr:pic>
    <xdr:clientData/>
  </xdr:twoCellAnchor>
  <xdr:twoCellAnchor>
    <xdr:from>
      <xdr:col>12</xdr:col>
      <xdr:colOff>53340</xdr:colOff>
      <xdr:row>18</xdr:row>
      <xdr:rowOff>160020</xdr:rowOff>
    </xdr:from>
    <xdr:to>
      <xdr:col>13</xdr:col>
      <xdr:colOff>121920</xdr:colOff>
      <xdr:row>22</xdr:row>
      <xdr:rowOff>15240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93D7297-076A-90FF-FB79-A2D7C73993D9}"/>
            </a:ext>
          </a:extLst>
        </xdr:cNvPr>
        <xdr:cNvCxnSpPr/>
      </xdr:nvCxnSpPr>
      <xdr:spPr bwMode="auto">
        <a:xfrm flipV="1">
          <a:off x="5059680" y="3352800"/>
          <a:ext cx="342900" cy="525780"/>
        </a:xfrm>
        <a:prstGeom prst="straightConnector1">
          <a:avLst/>
        </a:prstGeom>
        <a:solidFill>
          <a:srgbClr val="090000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434340</xdr:colOff>
      <xdr:row>19</xdr:row>
      <xdr:rowOff>30480</xdr:rowOff>
    </xdr:from>
    <xdr:to>
      <xdr:col>14</xdr:col>
      <xdr:colOff>259080</xdr:colOff>
      <xdr:row>22</xdr:row>
      <xdr:rowOff>7620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EDFB3BC-89A6-DCE6-3DF7-CD70DAE7D7C3}"/>
            </a:ext>
          </a:extLst>
        </xdr:cNvPr>
        <xdr:cNvCxnSpPr/>
      </xdr:nvCxnSpPr>
      <xdr:spPr bwMode="auto">
        <a:xfrm flipH="1" flipV="1">
          <a:off x="5715000" y="3390900"/>
          <a:ext cx="312420" cy="480060"/>
        </a:xfrm>
        <a:prstGeom prst="straightConnector1">
          <a:avLst/>
        </a:prstGeom>
        <a:solidFill>
          <a:srgbClr val="090000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259080</xdr:colOff>
      <xdr:row>19</xdr:row>
      <xdr:rowOff>7620</xdr:rowOff>
    </xdr:from>
    <xdr:to>
      <xdr:col>13</xdr:col>
      <xdr:colOff>259080</xdr:colOff>
      <xdr:row>24</xdr:row>
      <xdr:rowOff>144780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432E86B-B354-AB75-1919-78FDF50C742D}"/>
            </a:ext>
          </a:extLst>
        </xdr:cNvPr>
        <xdr:cNvCxnSpPr/>
      </xdr:nvCxnSpPr>
      <xdr:spPr bwMode="auto">
        <a:xfrm>
          <a:off x="5539740" y="3368040"/>
          <a:ext cx="0" cy="975360"/>
        </a:xfrm>
        <a:prstGeom prst="straightConnector1">
          <a:avLst/>
        </a:prstGeom>
        <a:solidFill>
          <a:srgbClr val="090000"/>
        </a:solidFill>
        <a:ln w="12700" cap="flat" cmpd="sng" algn="ctr">
          <a:solidFill>
            <a:srgbClr val="0000FF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91440</xdr:colOff>
      <xdr:row>16</xdr:row>
      <xdr:rowOff>76200</xdr:rowOff>
    </xdr:from>
    <xdr:to>
      <xdr:col>19</xdr:col>
      <xdr:colOff>83820</xdr:colOff>
      <xdr:row>25</xdr:row>
      <xdr:rowOff>76200</xdr:rowOff>
    </xdr:to>
    <xdr:sp macro="" textlink="">
      <xdr:nvSpPr>
        <xdr:cNvPr id="14" name="右大かっこ 13">
          <a:extLst>
            <a:ext uri="{FF2B5EF4-FFF2-40B4-BE49-F238E27FC236}">
              <a16:creationId xmlns:a16="http://schemas.microsoft.com/office/drawing/2014/main" id="{DE83A685-0E1B-6BF8-D7AF-83D885A52E1A}"/>
            </a:ext>
          </a:extLst>
        </xdr:cNvPr>
        <xdr:cNvSpPr/>
      </xdr:nvSpPr>
      <xdr:spPr bwMode="auto">
        <a:xfrm>
          <a:off x="7551420" y="2933700"/>
          <a:ext cx="144780" cy="1508760"/>
        </a:xfrm>
        <a:prstGeom prst="rightBracket">
          <a:avLst/>
        </a:prstGeom>
        <a:noFill/>
        <a:ln w="12700" cap="flat" cmpd="sng" algn="ctr">
          <a:solidFill>
            <a:srgbClr val="0000FF"/>
          </a:solidFill>
          <a:prstDash val="solid"/>
          <a:round/>
          <a:headEnd type="triangle" w="med" len="med"/>
          <a:tailEnd type="arrow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161925</xdr:rowOff>
    </xdr:from>
    <xdr:to>
      <xdr:col>4</xdr:col>
      <xdr:colOff>2521999</xdr:colOff>
      <xdr:row>18</xdr:row>
      <xdr:rowOff>136282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61925"/>
          <a:ext cx="6236749" cy="3060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175377</xdr:colOff>
      <xdr:row>4</xdr:row>
      <xdr:rowOff>62966</xdr:rowOff>
    </xdr:from>
    <xdr:to>
      <xdr:col>11</xdr:col>
      <xdr:colOff>233668</xdr:colOff>
      <xdr:row>15</xdr:row>
      <xdr:rowOff>31183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044" y="772049"/>
          <a:ext cx="1635207" cy="2010801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14</xdr:row>
      <xdr:rowOff>158750</xdr:rowOff>
    </xdr:from>
    <xdr:to>
      <xdr:col>15</xdr:col>
      <xdr:colOff>264120</xdr:colOff>
      <xdr:row>29</xdr:row>
      <xdr:rowOff>80119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19084" y="2741083"/>
          <a:ext cx="3714286" cy="25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561657</xdr:colOff>
      <xdr:row>24</xdr:row>
      <xdr:rowOff>7620</xdr:rowOff>
    </xdr:from>
    <xdr:to>
      <xdr:col>21</xdr:col>
      <xdr:colOff>355557</xdr:colOff>
      <xdr:row>41</xdr:row>
      <xdr:rowOff>121560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D3FA2A-30D1-4A12-A316-801275082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561657</xdr:colOff>
      <xdr:row>42</xdr:row>
      <xdr:rowOff>37254</xdr:rowOff>
    </xdr:from>
    <xdr:to>
      <xdr:col>21</xdr:col>
      <xdr:colOff>355557</xdr:colOff>
      <xdr:row>59</xdr:row>
      <xdr:rowOff>67374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89C6ACA-225E-455C-9171-D31D21813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10637</xdr:colOff>
      <xdr:row>24</xdr:row>
      <xdr:rowOff>7620</xdr:rowOff>
    </xdr:from>
    <xdr:to>
      <xdr:col>16</xdr:col>
      <xdr:colOff>511157</xdr:colOff>
      <xdr:row>41</xdr:row>
      <xdr:rowOff>121560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4F4ECFD-BB54-4F2A-94AA-15106ABE9F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10637</xdr:colOff>
      <xdr:row>42</xdr:row>
      <xdr:rowOff>37254</xdr:rowOff>
    </xdr:from>
    <xdr:to>
      <xdr:col>16</xdr:col>
      <xdr:colOff>511157</xdr:colOff>
      <xdr:row>59</xdr:row>
      <xdr:rowOff>67374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E42E845-9448-4E50-9275-4CE09D109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0.67858</cdr:x>
      <cdr:y>0.04763</cdr:y>
    </cdr:from>
    <cdr:to>
      <cdr:x>0.86001</cdr:x>
      <cdr:y>0.12113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54314" y="137160"/>
          <a:ext cx="522518" cy="211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Lin-Lin </a:t>
          </a:r>
          <a:r>
            <a:rPr lang="ja-JP" altLang="en-US" sz="1100"/>
            <a:t>表示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0.68934</cdr:x>
      <cdr:y>0.02587</cdr:y>
    </cdr:from>
    <cdr:to>
      <cdr:x>0.87077</cdr:x>
      <cdr:y>0.09936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85287" y="74508"/>
          <a:ext cx="522519" cy="211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Lin-Lin </a:t>
          </a:r>
          <a:r>
            <a:rPr lang="ja-JP" altLang="en-US" sz="1100"/>
            <a:t>表示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0.73249</cdr:x>
      <cdr:y>0.02558</cdr:y>
    </cdr:from>
    <cdr:to>
      <cdr:x>0.91392</cdr:x>
      <cdr:y>0.09907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900665" y="73668"/>
          <a:ext cx="718463" cy="211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Log-Log </a:t>
          </a:r>
          <a:r>
            <a:rPr lang="ja-JP" altLang="en-US" sz="1100"/>
            <a:t>表示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0.69355</cdr:x>
      <cdr:y>0.00927</cdr:y>
    </cdr:from>
    <cdr:to>
      <cdr:x>0.87498</cdr:x>
      <cdr:y>0.08276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46457" y="26690"/>
          <a:ext cx="718463" cy="211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Log-Log </a:t>
          </a:r>
          <a:r>
            <a:rPr lang="ja-JP" altLang="en-US" sz="1100"/>
            <a:t>表示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142291</xdr:colOff>
      <xdr:row>4</xdr:row>
      <xdr:rowOff>142913</xdr:rowOff>
    </xdr:from>
    <xdr:to>
      <xdr:col>11</xdr:col>
      <xdr:colOff>407215</xdr:colOff>
      <xdr:row>16</xdr:row>
      <xdr:rowOff>11487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6571" y="836333"/>
          <a:ext cx="1727964" cy="2070754"/>
        </a:xfrm>
        <a:prstGeom prst="rect">
          <a:avLst/>
        </a:prstGeom>
      </xdr:spPr>
    </xdr:pic>
    <xdr:clientData/>
  </xdr:twoCellAnchor>
  <xdr:twoCellAnchor editAs="oneCell">
    <xdr:from>
      <xdr:col>12</xdr:col>
      <xdr:colOff>40749</xdr:colOff>
      <xdr:row>4</xdr:row>
      <xdr:rowOff>243837</xdr:rowOff>
    </xdr:from>
    <xdr:to>
      <xdr:col>18</xdr:col>
      <xdr:colOff>265146</xdr:colOff>
      <xdr:row>14</xdr:row>
      <xdr:rowOff>172970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85AE1E0-926B-BDB8-94A6-B45B053A5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70049" y="937257"/>
          <a:ext cx="3661017" cy="17579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122059</xdr:colOff>
      <xdr:row>3</xdr:row>
      <xdr:rowOff>116481</xdr:rowOff>
    </xdr:from>
    <xdr:to>
      <xdr:col>15</xdr:col>
      <xdr:colOff>332390</xdr:colOff>
      <xdr:row>12</xdr:row>
      <xdr:rowOff>65045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CD45BF1-E22E-8CE6-4D6C-3F05461FA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439" y="634641"/>
          <a:ext cx="2831611" cy="1617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_old/SRIMfit&#20837;&#38272;_&#21322;&#23566;&#20307;&#29031;&#23556;&#35430;&#39443;&#29992;_2208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Library" Target="SRIMfi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Log"/>
      <sheetName val="ex01"/>
      <sheetName val="ex02"/>
      <sheetName val="ex03"/>
      <sheetName val="ex03note"/>
      <sheetName val="eg21"/>
      <sheetName val="eg22"/>
      <sheetName val="eg11マクロ情報"/>
      <sheetName val="eg12MySRwb確認"/>
    </sheetNames>
    <sheetDataSet>
      <sheetData sheetId="0">
        <row r="4">
          <cell r="C4" t="str">
            <v>SRIMfit 解説：半導体照射試験用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Log"/>
      <sheetName val="FncHelp"/>
      <sheetName val="FncLst1_J"/>
      <sheetName val="FncLst2a_J "/>
      <sheetName val="FncLst2b_J"/>
      <sheetName val="FncLst1_E"/>
      <sheetName val="FncLst2a_E"/>
      <sheetName val="FncLst2b_E"/>
    </sheetNames>
    <definedNames>
      <definedName name="srE2LETe"/>
      <definedName name="srE2LETn"/>
      <definedName name="srE2LETt"/>
      <definedName name="srE2Rng"/>
      <definedName name="srE2StLng"/>
      <definedName name="srE2StLtr"/>
      <definedName name="srElmNm"/>
      <definedName name="srEnew"/>
      <definedName name="srEnewGas"/>
      <definedName name="srEold"/>
      <definedName name="srEoldGas"/>
      <definedName name="srInfoBrgC"/>
      <definedName name="srInfoIonA"/>
      <definedName name="srInfoIonZ"/>
      <definedName name="srInfoTgCmAtmNm"/>
      <definedName name="srInfoTgCmAtmNo"/>
      <definedName name="srInfoTgCmAtmPct"/>
      <definedName name="srInfoTgCmMasPct"/>
      <definedName name="srInfoTgIsGas"/>
      <definedName name="srInfoTrgDens"/>
      <definedName name="srInfoTrgDensA"/>
      <definedName name="srInfoTrgName"/>
      <definedName name="srInfoTrgNameL"/>
      <definedName name="srInfoVer"/>
      <definedName name="srInfoWScorded"/>
      <definedName name="srLETCnvF"/>
      <definedName name="srLETe2Eh"/>
      <definedName name="srLETe2El"/>
      <definedName name="srLETn2Eh"/>
      <definedName name="srLETn2El"/>
      <definedName name="srLETt2E"/>
      <definedName name="srLETt2Eh"/>
      <definedName name="srLETt2El"/>
      <definedName name="srLETUNm"/>
      <definedName name="srMaxE"/>
      <definedName name="srMaxLETe"/>
      <definedName name="srMaxLETe2E"/>
      <definedName name="srMaxLETn"/>
      <definedName name="srMaxLETn2E"/>
      <definedName name="srMaxLETt"/>
      <definedName name="srMaxLETt2E"/>
      <definedName name="srMaxRng"/>
      <definedName name="srMaxStLng"/>
      <definedName name="srMaxStLtr"/>
      <definedName name="srMinE"/>
      <definedName name="srMinRng"/>
      <definedName name="srMinStLng"/>
      <definedName name="srMinStLtr"/>
      <definedName name="srRng2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E45"/>
  <sheetViews>
    <sheetView zoomScale="80" zoomScaleNormal="80" workbookViewId="0">
      <selection activeCell="E61" sqref="E61"/>
    </sheetView>
  </sheetViews>
  <sheetFormatPr defaultColWidth="9" defaultRowHeight="13.2"/>
  <cols>
    <col min="1" max="1" width="4.21875" customWidth="1"/>
    <col min="2" max="2" width="9" customWidth="1"/>
    <col min="3" max="3" width="10" customWidth="1"/>
    <col min="4" max="4" width="14.44140625" customWidth="1"/>
    <col min="5" max="5" width="58.6640625" customWidth="1"/>
  </cols>
  <sheetData>
    <row r="1" spans="2:5" s="6" customFormat="1" ht="19.2">
      <c r="B1" s="7" t="s">
        <v>21</v>
      </c>
      <c r="E1" s="8"/>
    </row>
    <row r="3" spans="2:5">
      <c r="B3" s="10" t="s">
        <v>19</v>
      </c>
      <c r="E3" s="1"/>
    </row>
    <row r="4" spans="2:5" ht="16.2">
      <c r="B4" s="11" t="s">
        <v>20</v>
      </c>
      <c r="C4" s="14" t="s">
        <v>292</v>
      </c>
      <c r="D4" s="12"/>
      <c r="E4" s="13"/>
    </row>
    <row r="6" spans="2:5" ht="16.2">
      <c r="C6" s="2" t="s">
        <v>5</v>
      </c>
    </row>
    <row r="7" spans="2:5">
      <c r="D7" s="4" t="s">
        <v>321</v>
      </c>
    </row>
    <row r="8" spans="2:5">
      <c r="C8" t="s">
        <v>2</v>
      </c>
      <c r="D8" t="s">
        <v>322</v>
      </c>
      <c r="E8" t="s">
        <v>1</v>
      </c>
    </row>
    <row r="10" spans="2:5">
      <c r="C10" t="s">
        <v>325</v>
      </c>
      <c r="D10" s="3" t="s">
        <v>18</v>
      </c>
      <c r="E10" t="s">
        <v>326</v>
      </c>
    </row>
    <row r="11" spans="2:5">
      <c r="C11" t="s">
        <v>323</v>
      </c>
      <c r="D11" s="3" t="s">
        <v>18</v>
      </c>
      <c r="E11" t="s">
        <v>324</v>
      </c>
    </row>
    <row r="13" spans="2:5">
      <c r="E13" s="3"/>
    </row>
    <row r="14" spans="2:5">
      <c r="E14" s="3"/>
    </row>
    <row r="16" spans="2:5">
      <c r="E16" s="3"/>
    </row>
    <row r="17" spans="2:5">
      <c r="B17" s="3"/>
      <c r="C17" s="5"/>
    </row>
    <row r="18" spans="2:5">
      <c r="B18" s="3"/>
      <c r="C18" s="5"/>
    </row>
    <row r="19" spans="2:5">
      <c r="B19" s="3"/>
      <c r="C19" s="5"/>
    </row>
    <row r="20" spans="2:5">
      <c r="C20" s="4"/>
      <c r="D20" s="3"/>
    </row>
    <row r="21" spans="2:5">
      <c r="C21" s="4"/>
    </row>
    <row r="22" spans="2:5">
      <c r="C22" s="4"/>
    </row>
    <row r="23" spans="2:5">
      <c r="C23" s="4"/>
    </row>
    <row r="24" spans="2:5">
      <c r="C24" s="4"/>
    </row>
    <row r="25" spans="2:5">
      <c r="C25" s="4"/>
      <c r="D25" s="3"/>
      <c r="E25" s="3"/>
    </row>
    <row r="26" spans="2:5">
      <c r="C26" s="4"/>
      <c r="E26" s="3"/>
    </row>
    <row r="27" spans="2:5">
      <c r="C27" s="4"/>
      <c r="E27" s="3"/>
    </row>
    <row r="28" spans="2:5">
      <c r="C28" s="4"/>
    </row>
    <row r="29" spans="2:5">
      <c r="C29" s="4"/>
    </row>
    <row r="30" spans="2:5">
      <c r="C30" s="4"/>
    </row>
    <row r="31" spans="2:5">
      <c r="C31" s="4"/>
    </row>
    <row r="32" spans="2:5">
      <c r="C32" s="4"/>
    </row>
    <row r="33" spans="3:3">
      <c r="C33" s="4"/>
    </row>
    <row r="34" spans="3:3">
      <c r="C34" s="4"/>
    </row>
    <row r="35" spans="3:3">
      <c r="C35" s="4"/>
    </row>
    <row r="36" spans="3:3">
      <c r="C36" s="4"/>
    </row>
    <row r="37" spans="3:3">
      <c r="C37" s="4"/>
    </row>
    <row r="38" spans="3:3">
      <c r="C38" s="4"/>
    </row>
    <row r="39" spans="3:3">
      <c r="C39" s="4"/>
    </row>
    <row r="40" spans="3:3">
      <c r="C40" s="4"/>
    </row>
    <row r="41" spans="3:3">
      <c r="C41" s="4"/>
    </row>
    <row r="42" spans="3:3">
      <c r="C42" s="4"/>
    </row>
    <row r="43" spans="3:3">
      <c r="C43" s="4"/>
    </row>
    <row r="44" spans="3:3">
      <c r="C44" s="4"/>
    </row>
    <row r="45" spans="3:3">
      <c r="C45" s="4"/>
    </row>
  </sheetData>
  <phoneticPr fontId="20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&amp;L&amp;F&amp;A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B1:M26"/>
  <sheetViews>
    <sheetView tabSelected="1" zoomScaleNormal="100" workbookViewId="0">
      <selection activeCell="Q41" sqref="Q41"/>
    </sheetView>
  </sheetViews>
  <sheetFormatPr defaultColWidth="9" defaultRowHeight="13.2"/>
  <cols>
    <col min="1" max="1" width="2" style="9" customWidth="1"/>
    <col min="2" max="2" width="5.109375" style="9" customWidth="1"/>
    <col min="3" max="4" width="8.77734375" style="9" customWidth="1"/>
    <col min="5" max="5" width="5.21875" style="9" customWidth="1"/>
    <col min="6" max="8" width="8.77734375" style="9" customWidth="1"/>
    <col min="9" max="9" width="3.21875" style="9" customWidth="1"/>
    <col min="10" max="12" width="8.77734375" style="9" customWidth="1"/>
    <col min="13" max="13" width="2.88671875" style="9" customWidth="1"/>
    <col min="14" max="14" width="9" style="9"/>
    <col min="15" max="15" width="7.109375" style="9" customWidth="1"/>
    <col min="16" max="17" width="9" style="9"/>
    <col min="18" max="18" width="1.88671875" style="9" customWidth="1"/>
    <col min="19" max="16384" width="9" style="9"/>
  </cols>
  <sheetData>
    <row r="1" spans="2:13" ht="9" customHeight="1"/>
    <row r="2" spans="2:13" ht="14.25" customHeight="1">
      <c r="B2" s="21" t="str">
        <f>WBtitle</f>
        <v>SRIMfit 入門：　半導体照射試験用</v>
      </c>
      <c r="C2" s="22"/>
      <c r="D2" s="22"/>
      <c r="E2" s="22"/>
      <c r="F2" s="22"/>
      <c r="G2" s="23"/>
      <c r="H2" s="22"/>
      <c r="I2" s="22"/>
    </row>
    <row r="3" spans="2:13" s="28" customFormat="1" ht="18" customHeight="1">
      <c r="B3" s="24"/>
      <c r="C3" s="24" t="s">
        <v>28</v>
      </c>
      <c r="D3" s="25" t="s">
        <v>29</v>
      </c>
      <c r="E3" s="26"/>
      <c r="F3" s="26"/>
      <c r="G3" s="27"/>
      <c r="H3" s="26"/>
      <c r="I3" s="26"/>
    </row>
    <row r="4" spans="2:13" ht="14.25" customHeight="1"/>
    <row r="6" spans="2:13" ht="19.2">
      <c r="C6" s="52" t="s">
        <v>51</v>
      </c>
      <c r="D6" s="51" t="s">
        <v>52</v>
      </c>
    </row>
    <row r="7" spans="2:13">
      <c r="C7" s="45" t="s">
        <v>42</v>
      </c>
    </row>
    <row r="8" spans="2:13">
      <c r="C8" s="45" t="s">
        <v>43</v>
      </c>
    </row>
    <row r="10" spans="2:13" ht="16.2">
      <c r="B10" s="46" t="s">
        <v>41</v>
      </c>
      <c r="C10" s="47" t="s">
        <v>44</v>
      </c>
    </row>
    <row r="13" spans="2:13" ht="16.2">
      <c r="B13" s="46" t="s">
        <v>45</v>
      </c>
      <c r="C13" s="44" t="s">
        <v>47</v>
      </c>
    </row>
    <row r="14" spans="2:13">
      <c r="C14" s="44" t="s">
        <v>48</v>
      </c>
      <c r="L14" s="16" t="s">
        <v>6</v>
      </c>
      <c r="M14" s="48" t="s">
        <v>30</v>
      </c>
    </row>
    <row r="15" spans="2:13">
      <c r="C15" s="44" t="s">
        <v>46</v>
      </c>
      <c r="L15" s="29" t="s">
        <v>31</v>
      </c>
      <c r="M15" s="49" t="s">
        <v>32</v>
      </c>
    </row>
    <row r="16" spans="2:13">
      <c r="L16" s="37" t="s">
        <v>7</v>
      </c>
      <c r="M16" s="49" t="s">
        <v>8</v>
      </c>
    </row>
    <row r="18" spans="2:8" ht="16.2">
      <c r="B18" s="15"/>
      <c r="C18" s="33" t="s">
        <v>113</v>
      </c>
      <c r="D18" s="17"/>
      <c r="F18" s="34" t="s">
        <v>22</v>
      </c>
      <c r="G18" s="35" t="s">
        <v>24</v>
      </c>
      <c r="H18" s="36" t="s">
        <v>25</v>
      </c>
    </row>
    <row r="19" spans="2:8">
      <c r="C19" s="50" t="str">
        <f>$F19&amp;$G19&amp;"_"&amp;$H19</f>
        <v>srim84Kr_Al</v>
      </c>
      <c r="D19" s="18"/>
      <c r="E19" s="43" t="s">
        <v>80</v>
      </c>
      <c r="F19" s="30" t="s">
        <v>23</v>
      </c>
      <c r="G19" s="31" t="s">
        <v>26</v>
      </c>
      <c r="H19" s="32" t="s">
        <v>27</v>
      </c>
    </row>
    <row r="20" spans="2:8">
      <c r="B20" s="105" t="s">
        <v>114</v>
      </c>
      <c r="D20" s="106"/>
      <c r="E20" s="107"/>
      <c r="F20" s="108" t="s">
        <v>115</v>
      </c>
      <c r="G20" s="108" t="s">
        <v>110</v>
      </c>
      <c r="H20" s="108" t="s">
        <v>111</v>
      </c>
    </row>
    <row r="22" spans="2:8">
      <c r="D22" s="38" t="s">
        <v>33</v>
      </c>
      <c r="E22" s="20"/>
      <c r="F22" s="38" t="s">
        <v>35</v>
      </c>
    </row>
    <row r="23" spans="2:8">
      <c r="D23" s="19" t="s">
        <v>34</v>
      </c>
      <c r="E23" s="20"/>
      <c r="F23" s="19" t="s">
        <v>36</v>
      </c>
    </row>
    <row r="24" spans="2:8">
      <c r="D24" s="39">
        <v>70</v>
      </c>
      <c r="E24" s="43" t="s">
        <v>37</v>
      </c>
      <c r="F24" s="41">
        <f>[2]!srE2Rng($C$19,D24)</f>
        <v>1452</v>
      </c>
    </row>
    <row r="25" spans="2:8">
      <c r="D25" s="40">
        <v>95</v>
      </c>
      <c r="E25" s="43" t="s">
        <v>37</v>
      </c>
      <c r="F25" s="42">
        <f>[2]!srE2Rng($C$19,D25)</f>
        <v>2400.4</v>
      </c>
      <c r="G25" s="106"/>
    </row>
    <row r="26" spans="2:8">
      <c r="D26" s="108" t="s">
        <v>39</v>
      </c>
      <c r="E26" s="106"/>
      <c r="F26" s="105" t="s">
        <v>40</v>
      </c>
    </row>
  </sheetData>
  <phoneticPr fontId="20"/>
  <pageMargins left="0.23622047244094491" right="0.23622047244094491" top="0.74803149606299213" bottom="0.74803149606299213" header="0.31496062992125984" footer="0.31496062992125984"/>
  <pageSetup paperSize="9" fitToHeight="0" pageOrder="overThenDown" orientation="landscape" r:id="rId1"/>
  <headerFooter>
    <oddHeader>&amp;L&amp;F&amp;A</oddHeader>
    <oddFooter>&amp;C&amp;P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E4C07-DE96-4EF4-9E3F-AE9E2C4A33ED}">
  <sheetPr codeName="Sheet7">
    <pageSetUpPr fitToPage="1"/>
  </sheetPr>
  <dimension ref="B1:L26"/>
  <sheetViews>
    <sheetView zoomScaleNormal="100" workbookViewId="0">
      <selection activeCell="F63" sqref="F63"/>
    </sheetView>
  </sheetViews>
  <sheetFormatPr defaultColWidth="9" defaultRowHeight="13.2"/>
  <cols>
    <col min="1" max="1" width="2" style="9" customWidth="1"/>
    <col min="2" max="2" width="5.109375" style="9" customWidth="1"/>
    <col min="3" max="3" width="8.77734375" style="9" customWidth="1"/>
    <col min="4" max="4" width="10.88671875" style="9" customWidth="1"/>
    <col min="5" max="5" width="5.21875" style="9" customWidth="1"/>
    <col min="6" max="8" width="8.77734375" style="9" customWidth="1"/>
    <col min="9" max="9" width="3.21875" style="9" customWidth="1"/>
    <col min="10" max="12" width="8.77734375" style="9" customWidth="1"/>
    <col min="13" max="13" width="2.88671875" style="9" customWidth="1"/>
    <col min="14" max="14" width="9" style="9"/>
    <col min="15" max="15" width="7.109375" style="9" customWidth="1"/>
    <col min="16" max="16" width="9" style="9"/>
    <col min="17" max="17" width="9" style="9" customWidth="1"/>
    <col min="18" max="16384" width="9" style="9"/>
  </cols>
  <sheetData>
    <row r="1" spans="2:12" ht="9" customHeight="1"/>
    <row r="2" spans="2:12" ht="14.25" customHeight="1">
      <c r="B2" s="21" t="str">
        <f>WBtitle</f>
        <v>SRIMfit 入門：　半導体照射試験用</v>
      </c>
      <c r="C2" s="22"/>
      <c r="D2" s="22"/>
      <c r="E2" s="22"/>
      <c r="F2" s="22"/>
      <c r="G2" s="23"/>
      <c r="H2" s="22"/>
      <c r="I2" s="22"/>
      <c r="K2" s="16" t="s">
        <v>6</v>
      </c>
      <c r="L2" s="48" t="s">
        <v>30</v>
      </c>
    </row>
    <row r="3" spans="2:12" s="28" customFormat="1" ht="18" customHeight="1">
      <c r="B3" s="24"/>
      <c r="C3" s="24" t="s">
        <v>49</v>
      </c>
      <c r="D3" s="25" t="s">
        <v>50</v>
      </c>
      <c r="E3" s="26"/>
      <c r="F3" s="26"/>
      <c r="G3" s="27"/>
      <c r="H3" s="26"/>
      <c r="I3" s="26"/>
      <c r="K3" s="29" t="s">
        <v>31</v>
      </c>
      <c r="L3" s="49" t="s">
        <v>32</v>
      </c>
    </row>
    <row r="4" spans="2:12" ht="14.25" customHeight="1">
      <c r="K4" s="37" t="s">
        <v>7</v>
      </c>
      <c r="L4" s="49" t="s">
        <v>8</v>
      </c>
    </row>
    <row r="6" spans="2:12" ht="19.2">
      <c r="C6" s="52" t="s">
        <v>53</v>
      </c>
      <c r="D6" s="51" t="s">
        <v>104</v>
      </c>
    </row>
    <row r="7" spans="2:12">
      <c r="C7" s="45" t="s">
        <v>54</v>
      </c>
    </row>
    <row r="8" spans="2:12">
      <c r="C8" s="45" t="s">
        <v>55</v>
      </c>
    </row>
    <row r="10" spans="2:12" ht="16.2">
      <c r="B10" s="46" t="s">
        <v>41</v>
      </c>
      <c r="C10" s="47" t="s">
        <v>59</v>
      </c>
    </row>
    <row r="13" spans="2:12" ht="16.2">
      <c r="B13" s="46" t="s">
        <v>45</v>
      </c>
      <c r="C13" s="44" t="s">
        <v>56</v>
      </c>
    </row>
    <row r="14" spans="2:12">
      <c r="C14" s="44" t="s">
        <v>57</v>
      </c>
    </row>
    <row r="15" spans="2:12">
      <c r="C15" s="44" t="s">
        <v>58</v>
      </c>
    </row>
    <row r="18" spans="2:8" ht="16.2">
      <c r="B18" s="15"/>
      <c r="C18" s="33" t="s">
        <v>38</v>
      </c>
      <c r="D18" s="17"/>
      <c r="F18" s="34" t="s">
        <v>22</v>
      </c>
      <c r="G18" s="35" t="s">
        <v>24</v>
      </c>
      <c r="H18" s="36" t="s">
        <v>25</v>
      </c>
    </row>
    <row r="19" spans="2:8">
      <c r="C19" s="50" t="str">
        <f>$F19&amp;$G19&amp;"_"&amp;$H19</f>
        <v>srim84Kr_Si</v>
      </c>
      <c r="D19" s="18"/>
      <c r="E19" s="43" t="s">
        <v>80</v>
      </c>
      <c r="F19" s="30" t="s">
        <v>23</v>
      </c>
      <c r="G19" s="31" t="s">
        <v>26</v>
      </c>
      <c r="H19" s="32" t="s">
        <v>9</v>
      </c>
    </row>
    <row r="20" spans="2:8">
      <c r="B20" s="105" t="s">
        <v>114</v>
      </c>
      <c r="D20" s="106"/>
      <c r="E20" s="107"/>
      <c r="F20" s="108" t="s">
        <v>115</v>
      </c>
      <c r="G20" s="108" t="s">
        <v>110</v>
      </c>
      <c r="H20" s="108" t="s">
        <v>111</v>
      </c>
    </row>
    <row r="22" spans="2:8">
      <c r="D22" s="38" t="s">
        <v>116</v>
      </c>
      <c r="E22" s="20"/>
      <c r="F22" s="38" t="s">
        <v>61</v>
      </c>
    </row>
    <row r="23" spans="2:8">
      <c r="D23" s="19" t="s">
        <v>36</v>
      </c>
      <c r="E23" s="20"/>
      <c r="F23" s="19" t="s">
        <v>0</v>
      </c>
    </row>
    <row r="24" spans="2:8">
      <c r="D24" s="53">
        <v>200</v>
      </c>
      <c r="E24" s="43" t="s">
        <v>37</v>
      </c>
      <c r="F24" s="41">
        <f>[2]!srRng2E($C$19,D24)</f>
        <v>17.179205564708038</v>
      </c>
    </row>
    <row r="25" spans="2:8">
      <c r="D25" s="54">
        <v>800</v>
      </c>
      <c r="E25" s="43" t="s">
        <v>37</v>
      </c>
      <c r="F25" s="42">
        <f>[2]!srRng2E($C$19,D25)</f>
        <v>44.616209049546477</v>
      </c>
    </row>
    <row r="26" spans="2:8">
      <c r="D26" s="103" t="s">
        <v>60</v>
      </c>
      <c r="F26" s="104" t="s">
        <v>62</v>
      </c>
    </row>
  </sheetData>
  <phoneticPr fontId="20"/>
  <pageMargins left="0.23622047244094491" right="0.23622047244094491" top="0.74803149606299213" bottom="0.74803149606299213" header="0.31496062992125984" footer="0.31496062992125984"/>
  <pageSetup paperSize="9" fitToHeight="0" pageOrder="overThenDown" orientation="landscape" r:id="rId1"/>
  <headerFooter>
    <oddHeader>&amp;L&amp;F&amp;A</oddHeader>
    <oddFooter>&amp;C&amp;P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D6623-3079-43FC-A29D-3CE35D7E6EE9}">
  <sheetPr codeName="Sheet3"/>
  <dimension ref="A1:P177"/>
  <sheetViews>
    <sheetView zoomScale="90" zoomScaleNormal="90" workbookViewId="0">
      <selection activeCell="W16" sqref="W16"/>
    </sheetView>
  </sheetViews>
  <sheetFormatPr defaultColWidth="9" defaultRowHeight="13.2"/>
  <cols>
    <col min="1" max="1" width="4.44140625" customWidth="1"/>
    <col min="2" max="2" width="12.6640625" customWidth="1"/>
    <col min="3" max="3" width="10.109375" customWidth="1"/>
    <col min="4" max="4" width="9.5546875" customWidth="1"/>
    <col min="5" max="8" width="8.77734375" customWidth="1"/>
    <col min="9" max="9" width="3.21875" customWidth="1"/>
    <col min="10" max="10" width="6.21875" customWidth="1"/>
    <col min="11" max="11" width="6.77734375" customWidth="1"/>
    <col min="12" max="12" width="7" customWidth="1"/>
    <col min="13" max="13" width="6.77734375" customWidth="1"/>
    <col min="14" max="14" width="4.88671875" customWidth="1"/>
    <col min="15" max="15" width="9.77734375" customWidth="1"/>
  </cols>
  <sheetData>
    <row r="1" spans="2:16" s="9" customFormat="1" ht="9" customHeight="1"/>
    <row r="2" spans="2:16" s="9" customFormat="1" ht="14.25" customHeight="1">
      <c r="B2" s="21" t="str">
        <f>WBtitle</f>
        <v>SRIMfit 解説：半導体照射試験用</v>
      </c>
      <c r="C2" s="22"/>
      <c r="D2" s="22"/>
      <c r="E2" s="22"/>
      <c r="F2" s="22"/>
      <c r="G2" s="23"/>
      <c r="H2" s="22"/>
      <c r="I2" s="22"/>
      <c r="K2" s="196" t="s">
        <v>6</v>
      </c>
      <c r="L2" s="48" t="s">
        <v>234</v>
      </c>
    </row>
    <row r="3" spans="2:16" s="28" customFormat="1" ht="18" customHeight="1">
      <c r="B3" s="24"/>
      <c r="C3" s="24" t="s">
        <v>139</v>
      </c>
      <c r="D3" s="25" t="s">
        <v>232</v>
      </c>
      <c r="E3" s="26"/>
      <c r="F3" s="26"/>
      <c r="G3" s="27"/>
      <c r="H3" s="26"/>
      <c r="I3" s="26"/>
      <c r="K3" s="190" t="s">
        <v>31</v>
      </c>
      <c r="L3" s="49" t="s">
        <v>235</v>
      </c>
    </row>
    <row r="4" spans="2:16" s="9" customFormat="1" ht="14.25" customHeight="1">
      <c r="C4" s="52" t="s">
        <v>139</v>
      </c>
      <c r="D4" s="51" t="s">
        <v>233</v>
      </c>
      <c r="K4" s="37" t="s">
        <v>7</v>
      </c>
      <c r="L4" s="49" t="s">
        <v>236</v>
      </c>
    </row>
    <row r="5" spans="2:16" s="9" customFormat="1" ht="14.4">
      <c r="C5"/>
      <c r="D5" s="135" t="s">
        <v>237</v>
      </c>
    </row>
    <row r="6" spans="2:16" ht="5.4" customHeight="1">
      <c r="B6" s="136"/>
      <c r="C6" s="137"/>
      <c r="D6" s="138"/>
      <c r="E6" s="137"/>
      <c r="F6" s="138"/>
      <c r="G6" s="138"/>
      <c r="H6" s="138"/>
      <c r="I6" s="138"/>
    </row>
    <row r="7" spans="2:16" ht="14.4">
      <c r="B7" s="197" t="s">
        <v>184</v>
      </c>
      <c r="C7" s="239" t="s">
        <v>238</v>
      </c>
      <c r="D7" s="139"/>
      <c r="E7" s="212" t="s">
        <v>255</v>
      </c>
      <c r="H7" s="141"/>
      <c r="I7" s="142"/>
      <c r="J7" s="141"/>
      <c r="K7" s="141"/>
      <c r="L7" s="141"/>
    </row>
    <row r="8" spans="2:16">
      <c r="B8" s="143"/>
      <c r="C8" s="138"/>
      <c r="D8" s="138"/>
      <c r="E8" s="144"/>
      <c r="H8" s="145"/>
      <c r="I8" s="136"/>
      <c r="J8" s="267" t="s">
        <v>273</v>
      </c>
      <c r="K8" s="146"/>
      <c r="L8" s="141"/>
    </row>
    <row r="9" spans="2:16">
      <c r="B9" s="201" t="s">
        <v>185</v>
      </c>
      <c r="C9" s="207" t="str">
        <f>[2]!srInfoWScorded(C7)</f>
        <v>Ayoshida.RIKEN 2016.06</v>
      </c>
      <c r="E9" s="235" t="s">
        <v>239</v>
      </c>
      <c r="I9" s="202" t="s">
        <v>186</v>
      </c>
      <c r="J9" s="147" t="str">
        <f>IF([2]!srInfoTgIsGas(C7),"Gas","")</f>
        <v>Gas</v>
      </c>
      <c r="K9" s="204" t="s">
        <v>187</v>
      </c>
      <c r="L9" s="148"/>
      <c r="M9" s="148"/>
      <c r="O9" s="141"/>
      <c r="P9" s="141"/>
    </row>
    <row r="10" spans="2:16">
      <c r="B10" s="198" t="s">
        <v>188</v>
      </c>
      <c r="C10" s="208" t="str">
        <f>[2]!srInfoVer(C7)</f>
        <v>SRIM-2013.00</v>
      </c>
      <c r="D10" s="149"/>
      <c r="E10" s="235" t="s">
        <v>240</v>
      </c>
      <c r="I10" s="137"/>
      <c r="J10" s="203" t="s">
        <v>189</v>
      </c>
      <c r="K10" s="203" t="s">
        <v>189</v>
      </c>
      <c r="L10" s="203" t="s">
        <v>190</v>
      </c>
      <c r="M10" s="203" t="s">
        <v>191</v>
      </c>
      <c r="N10" s="141"/>
      <c r="O10" s="205" t="s">
        <v>192</v>
      </c>
      <c r="P10" s="141"/>
    </row>
    <row r="11" spans="2:16">
      <c r="B11" s="199" t="s">
        <v>193</v>
      </c>
      <c r="C11" s="147">
        <f>[2]!srInfoIonZ(C7)</f>
        <v>36</v>
      </c>
      <c r="D11" s="232" t="str">
        <f>[2]!srElmNm(C11)</f>
        <v>Kr</v>
      </c>
      <c r="E11" s="235" t="s">
        <v>241</v>
      </c>
      <c r="I11" s="259" t="s">
        <v>263</v>
      </c>
      <c r="J11" s="203" t="s">
        <v>194</v>
      </c>
      <c r="K11" s="203" t="s">
        <v>195</v>
      </c>
      <c r="L11" s="203" t="s">
        <v>196</v>
      </c>
      <c r="M11" s="203" t="s">
        <v>196</v>
      </c>
      <c r="N11" s="259" t="s">
        <v>102</v>
      </c>
      <c r="O11" s="206" t="s">
        <v>197</v>
      </c>
      <c r="P11" s="146"/>
    </row>
    <row r="12" spans="2:16">
      <c r="B12" s="199" t="s">
        <v>198</v>
      </c>
      <c r="C12" s="147">
        <f>[2]!srInfoIonA(C7)</f>
        <v>84</v>
      </c>
      <c r="D12" s="233"/>
      <c r="E12" s="235" t="s">
        <v>242</v>
      </c>
      <c r="I12" s="230">
        <v>0</v>
      </c>
      <c r="J12" s="255" t="str">
        <f>[2]!srInfoTgCmAtmNm(C7,I12)</f>
        <v>C</v>
      </c>
      <c r="K12" s="213">
        <f>[2]!srInfoTgCmAtmNo(C7,I12)</f>
        <v>6</v>
      </c>
      <c r="L12" s="213">
        <f>[2]!srInfoTgCmAtmPct(C7,I12)</f>
        <v>0.02</v>
      </c>
      <c r="M12" s="214">
        <f>[2]!srInfoTgCmMasPct(C7,I12)</f>
        <v>0.02</v>
      </c>
      <c r="N12" s="229">
        <v>1</v>
      </c>
      <c r="O12" s="226">
        <f>[2]!srLETCnvF(C7,N12)</f>
        <v>1.2048E-2</v>
      </c>
      <c r="P12" s="282" t="str">
        <f>[2]!srLETUNm(N12)</f>
        <v>eV/A</v>
      </c>
    </row>
    <row r="13" spans="2:16">
      <c r="B13" s="199" t="s">
        <v>199</v>
      </c>
      <c r="C13" s="209" t="str">
        <f>[2]!srInfoTrgName(C7)</f>
        <v>Air</v>
      </c>
      <c r="D13" s="150"/>
      <c r="E13" s="236" t="s">
        <v>243</v>
      </c>
      <c r="I13" s="230">
        <f>I12+1</f>
        <v>1</v>
      </c>
      <c r="J13" s="256" t="str">
        <f>[2]!srInfoTgCmAtmNm(C7,I13)</f>
        <v>O</v>
      </c>
      <c r="K13" s="215">
        <f>[2]!srInfoTgCmAtmNo(C7,I13)</f>
        <v>8</v>
      </c>
      <c r="L13" s="215">
        <f>[2]!srInfoTgCmAtmPct(C7,I13)</f>
        <v>21.08</v>
      </c>
      <c r="M13" s="216">
        <f>[2]!srInfoTgCmMasPct(C7,I13)</f>
        <v>23.18</v>
      </c>
      <c r="N13" s="229">
        <v>2</v>
      </c>
      <c r="O13" s="227">
        <f>[2]!srLETCnvF(C7,N13)</f>
        <v>0.12048</v>
      </c>
      <c r="P13" s="282" t="str">
        <f>[2]!srLETUNm(N13)</f>
        <v>keV/um</v>
      </c>
    </row>
    <row r="14" spans="2:16">
      <c r="B14" s="199"/>
      <c r="C14" s="234" t="str">
        <f>[2]!srInfoTrgNameL(C7)</f>
        <v>Air (Dry ICRU-104(gas))</v>
      </c>
      <c r="D14" s="150"/>
      <c r="E14" s="236" t="s">
        <v>244</v>
      </c>
      <c r="I14" s="230">
        <f t="shared" ref="I14:I19" si="0">I13+1</f>
        <v>2</v>
      </c>
      <c r="J14" s="256" t="str">
        <f>[2]!srInfoTgCmAtmNm(C7,I14)</f>
        <v>N</v>
      </c>
      <c r="K14" s="215">
        <f>[2]!srInfoTgCmAtmNo(C7,I14)</f>
        <v>7</v>
      </c>
      <c r="L14" s="215">
        <f>[2]!srInfoTgCmAtmPct(C7,I14)</f>
        <v>78.430000000000007</v>
      </c>
      <c r="M14" s="216">
        <f>[2]!srInfoTgCmMasPct(C7,I14)</f>
        <v>75.510000000000005</v>
      </c>
      <c r="N14" s="229">
        <v>3</v>
      </c>
      <c r="O14" s="227">
        <f>[2]!srLETCnvF(C7,N14)</f>
        <v>0.12048</v>
      </c>
      <c r="P14" s="282" t="str">
        <f>[2]!srLETUNm(N14)</f>
        <v>MeV/mm</v>
      </c>
    </row>
    <row r="15" spans="2:16">
      <c r="B15" s="199" t="s">
        <v>200</v>
      </c>
      <c r="C15" s="211">
        <f>[2]!srInfoTrgDens(C7)</f>
        <v>1.2048E-3</v>
      </c>
      <c r="D15" s="237" t="s">
        <v>201</v>
      </c>
      <c r="E15" s="235" t="s">
        <v>245</v>
      </c>
      <c r="I15" s="230">
        <f t="shared" si="0"/>
        <v>3</v>
      </c>
      <c r="J15" s="256" t="str">
        <f>[2]!srInfoTgCmAtmNm(C7,I15)</f>
        <v>Ar</v>
      </c>
      <c r="K15" s="215">
        <f>[2]!srInfoTgCmAtmNo(C7,I15)</f>
        <v>18</v>
      </c>
      <c r="L15" s="215">
        <f>[2]!srInfoTgCmAtmPct(C7,I15)</f>
        <v>0.47</v>
      </c>
      <c r="M15" s="216">
        <f>[2]!srInfoTgCmMasPct(C7,I15)</f>
        <v>1.29</v>
      </c>
      <c r="N15" s="229">
        <v>4</v>
      </c>
      <c r="O15" s="227">
        <f>[2]!srLETCnvF(C7,N15)</f>
        <v>1</v>
      </c>
      <c r="P15" s="282" t="str">
        <f>[2]!srLETUNm(N15)</f>
        <v>keV/(ug/cm2)</v>
      </c>
    </row>
    <row r="16" spans="2:16">
      <c r="B16" s="199"/>
      <c r="C16" s="211">
        <f>[2]!srInfoTrgDensA(C7)</f>
        <v>4.987E+19</v>
      </c>
      <c r="D16" s="238" t="s">
        <v>202</v>
      </c>
      <c r="E16" s="235" t="s">
        <v>246</v>
      </c>
      <c r="I16" s="230">
        <f t="shared" si="0"/>
        <v>4</v>
      </c>
      <c r="J16" s="256" t="str">
        <f>[2]!srInfoTgCmAtmNm(C7,I16)</f>
        <v/>
      </c>
      <c r="K16" s="215">
        <f>[2]!srInfoTgCmAtmNo(C7,I16)</f>
        <v>0</v>
      </c>
      <c r="L16" s="215">
        <f>[2]!srInfoTgCmAtmPct(C7,I16)</f>
        <v>0</v>
      </c>
      <c r="M16" s="216">
        <f>[2]!srInfoTgCmMasPct(C7,I16)</f>
        <v>0</v>
      </c>
      <c r="N16" s="229">
        <v>5</v>
      </c>
      <c r="O16" s="227">
        <f>[2]!srLETCnvF(C7,N16)</f>
        <v>1</v>
      </c>
      <c r="P16" s="282" t="str">
        <f>[2]!srLETUNm(N16)</f>
        <v>MeV/(mg/cm2)</v>
      </c>
    </row>
    <row r="17" spans="2:16">
      <c r="B17" s="200" t="s">
        <v>203</v>
      </c>
      <c r="C17" s="210">
        <f>[2]!srInfoBrgC(C7)</f>
        <v>0</v>
      </c>
      <c r="D17" s="152"/>
      <c r="E17" s="235" t="s">
        <v>247</v>
      </c>
      <c r="I17" s="230">
        <f t="shared" si="0"/>
        <v>5</v>
      </c>
      <c r="J17" s="256" t="str">
        <f>[2]!srInfoTgCmAtmNm(C7,I17)</f>
        <v/>
      </c>
      <c r="K17" s="215">
        <f>[2]!srInfoTgCmAtmNo(C7,I17)</f>
        <v>0</v>
      </c>
      <c r="L17" s="215">
        <f>[2]!srInfoTgCmAtmPct(C7,I17)</f>
        <v>0</v>
      </c>
      <c r="M17" s="216">
        <f>[2]!srInfoTgCmMasPct(C7,I17)</f>
        <v>0</v>
      </c>
      <c r="N17" s="229">
        <v>6</v>
      </c>
      <c r="O17" s="227">
        <f>[2]!srLETCnvF(C7,N17)</f>
        <v>1000</v>
      </c>
      <c r="P17" s="282" t="str">
        <f>[2]!srLETUNm(N17)</f>
        <v>keV/(mg/cm2)</v>
      </c>
    </row>
    <row r="18" spans="2:16">
      <c r="B18" s="136"/>
      <c r="C18" s="136"/>
      <c r="D18" s="138"/>
      <c r="I18" s="230">
        <f t="shared" si="0"/>
        <v>6</v>
      </c>
      <c r="J18" s="256" t="str">
        <f>[2]!srInfoTgCmAtmNm(C7,I18)</f>
        <v/>
      </c>
      <c r="K18" s="215">
        <f>[2]!srInfoTgCmAtmNo(C7,I18)</f>
        <v>0</v>
      </c>
      <c r="L18" s="215">
        <f>[2]!srInfoTgCmAtmPct(C7,I18)</f>
        <v>0</v>
      </c>
      <c r="M18" s="216">
        <f>[2]!srInfoTgCmMasPct(C7,I18)</f>
        <v>0</v>
      </c>
      <c r="N18" s="229">
        <v>7</v>
      </c>
      <c r="O18" s="227">
        <f>[2]!srLETCnvF(C7,N18)</f>
        <v>24.158000000000001</v>
      </c>
      <c r="P18" s="282" t="str">
        <f>[2]!srLETUNm(N18)</f>
        <v>eV/1E15 atoms/cm2)</v>
      </c>
    </row>
    <row r="19" spans="2:16">
      <c r="B19" s="202" t="s">
        <v>204</v>
      </c>
      <c r="C19" s="225" t="s">
        <v>205</v>
      </c>
      <c r="D19" s="225" t="s">
        <v>206</v>
      </c>
      <c r="I19" s="230">
        <f t="shared" si="0"/>
        <v>7</v>
      </c>
      <c r="J19" s="257" t="str">
        <f>[2]!srInfoTgCmAtmNm(C7,I19)</f>
        <v/>
      </c>
      <c r="K19" s="217">
        <f>[2]!srInfoTgCmAtmNo(C7,I19)</f>
        <v>0</v>
      </c>
      <c r="L19" s="217">
        <f>[2]!srInfoTgCmAtmPct(C7,I19)</f>
        <v>0</v>
      </c>
      <c r="M19" s="218">
        <f>[2]!srInfoTgCmMasPct(C7,I19)</f>
        <v>0</v>
      </c>
      <c r="N19" s="229">
        <v>8</v>
      </c>
      <c r="O19" s="228">
        <f>[2]!srLETCnvF(C7,N19)</f>
        <v>4.9042000000000002E-2</v>
      </c>
      <c r="P19" s="282" t="str">
        <f>[2]!srLETUNm(N19)</f>
        <v>L.S.S.</v>
      </c>
    </row>
    <row r="20" spans="2:16">
      <c r="B20" s="198" t="s">
        <v>207</v>
      </c>
      <c r="C20" s="219">
        <f>[2]!srMinE(C7)</f>
        <v>1.071427380952381E-5</v>
      </c>
      <c r="D20" s="220">
        <f>[2]!srMaxE(C7)</f>
        <v>1000</v>
      </c>
      <c r="E20" s="235" t="s">
        <v>248</v>
      </c>
      <c r="I20" s="138"/>
      <c r="J20" s="138"/>
      <c r="K20" s="136" t="s">
        <v>208</v>
      </c>
      <c r="L20" s="231">
        <f>SUM(L12:L19)</f>
        <v>100</v>
      </c>
      <c r="M20" s="231">
        <f>SUM(M12:M19)</f>
        <v>100.00000000000001</v>
      </c>
      <c r="N20" s="229">
        <v>0</v>
      </c>
      <c r="O20" s="154" t="s">
        <v>209</v>
      </c>
      <c r="P20" s="155"/>
    </row>
    <row r="21" spans="2:16">
      <c r="B21" s="199" t="s">
        <v>210</v>
      </c>
      <c r="C21" s="221">
        <f>[2]!srMinRng(C7)</f>
        <v>5.56</v>
      </c>
      <c r="D21" s="222">
        <f>[2]!srMaxRng(C7)</f>
        <v>198460000</v>
      </c>
      <c r="E21" s="235" t="s">
        <v>249</v>
      </c>
      <c r="F21" s="156"/>
      <c r="G21" s="156"/>
      <c r="H21" s="157"/>
      <c r="I21" s="138"/>
      <c r="J21" s="235" t="s">
        <v>261</v>
      </c>
      <c r="K21" s="159"/>
      <c r="O21" s="235" t="s">
        <v>266</v>
      </c>
    </row>
    <row r="22" spans="2:16">
      <c r="B22" s="199" t="s">
        <v>211</v>
      </c>
      <c r="C22" s="221">
        <f>[2]!srMinStLng(C7)</f>
        <v>1.72</v>
      </c>
      <c r="D22" s="222">
        <f>[2]!srMaxStLng(C7)</f>
        <v>7390000</v>
      </c>
      <c r="E22" s="235" t="s">
        <v>250</v>
      </c>
      <c r="F22" s="158"/>
      <c r="G22" s="158"/>
      <c r="H22" s="158"/>
      <c r="I22" s="158"/>
      <c r="J22" s="158"/>
      <c r="K22" s="235" t="s">
        <v>262</v>
      </c>
      <c r="P22" s="235" t="s">
        <v>278</v>
      </c>
    </row>
    <row r="23" spans="2:16">
      <c r="B23" s="200" t="s">
        <v>212</v>
      </c>
      <c r="C23" s="223">
        <f>[2]!srMinStLtr(C7)</f>
        <v>1.24</v>
      </c>
      <c r="D23" s="224">
        <f>[2]!srMaxStLtr(C7)</f>
        <v>421200</v>
      </c>
      <c r="E23" s="235" t="s">
        <v>251</v>
      </c>
      <c r="F23" s="160"/>
      <c r="G23" s="158"/>
      <c r="I23" s="160"/>
      <c r="J23" s="158"/>
      <c r="K23" s="159"/>
      <c r="L23" s="235" t="s">
        <v>264</v>
      </c>
    </row>
    <row r="24" spans="2:16">
      <c r="B24" s="136"/>
      <c r="C24" s="161"/>
      <c r="D24" s="162"/>
      <c r="E24" s="163"/>
      <c r="F24" s="158"/>
      <c r="G24" s="164"/>
      <c r="I24" s="158"/>
      <c r="J24" s="164"/>
      <c r="M24" s="235" t="s">
        <v>265</v>
      </c>
    </row>
    <row r="25" spans="2:16">
      <c r="B25" s="197" t="s">
        <v>213</v>
      </c>
      <c r="C25" s="165">
        <v>0</v>
      </c>
      <c r="D25" s="240" t="s">
        <v>214</v>
      </c>
      <c r="E25" s="252" t="s">
        <v>102</v>
      </c>
      <c r="F25" s="158"/>
      <c r="G25" s="163"/>
      <c r="I25" s="158"/>
      <c r="J25" s="163"/>
    </row>
    <row r="26" spans="2:16">
      <c r="B26" s="166"/>
      <c r="C26" s="241" t="s">
        <v>252</v>
      </c>
      <c r="D26" s="241" t="s">
        <v>253</v>
      </c>
      <c r="E26" s="242" t="s">
        <v>254</v>
      </c>
      <c r="F26" s="138"/>
      <c r="G26" s="163"/>
      <c r="I26" s="158"/>
      <c r="J26" s="163"/>
    </row>
    <row r="27" spans="2:16">
      <c r="B27" s="243" t="s">
        <v>215</v>
      </c>
      <c r="C27" s="245">
        <f>[2]!srMaxLETt(C7,C25)</f>
        <v>48.532800000000002</v>
      </c>
      <c r="D27" s="245">
        <f>[2]!srMaxLETe(C7,C25)</f>
        <v>48.4</v>
      </c>
      <c r="E27" s="246">
        <f>[2]!srMaxLETn(C7,C25)</f>
        <v>7.1230000000000002</v>
      </c>
      <c r="F27" s="244" t="s">
        <v>216</v>
      </c>
      <c r="G27" s="235" t="s">
        <v>257</v>
      </c>
    </row>
    <row r="28" spans="2:16">
      <c r="B28" s="199" t="s">
        <v>217</v>
      </c>
      <c r="C28" s="245">
        <f>[2]!srMaxLETt2E(C7)</f>
        <v>1.1904761904761905</v>
      </c>
      <c r="D28" s="245">
        <f>[2]!srMaxLETe2E(C7)</f>
        <v>1.1904761904761905</v>
      </c>
      <c r="E28" s="247">
        <f>[2]!srMaxLETn2E(C7)</f>
        <v>8.3333333333333339E-4</v>
      </c>
      <c r="F28" s="244" t="s">
        <v>0</v>
      </c>
      <c r="G28" s="235" t="s">
        <v>256</v>
      </c>
      <c r="H28" s="1"/>
      <c r="I28" s="1"/>
      <c r="J28" s="1"/>
      <c r="K28" s="1"/>
    </row>
    <row r="29" spans="2:16">
      <c r="B29" s="167">
        <v>0.7</v>
      </c>
      <c r="C29" s="253">
        <f>C27*B29</f>
        <v>33.97296</v>
      </c>
      <c r="D29" s="253">
        <f>D27*B29</f>
        <v>33.879999999999995</v>
      </c>
      <c r="E29" s="254">
        <f>E27*B29</f>
        <v>4.9860999999999995</v>
      </c>
      <c r="F29" s="244" t="s">
        <v>216</v>
      </c>
      <c r="G29" s="235" t="s">
        <v>259</v>
      </c>
      <c r="H29" s="1"/>
      <c r="I29" s="1"/>
      <c r="J29" s="1"/>
      <c r="K29" s="1"/>
    </row>
    <row r="30" spans="2:16">
      <c r="B30" s="243" t="s">
        <v>218</v>
      </c>
      <c r="C30" s="248">
        <f>[2]!srLETt2El(C7,C29,C25)</f>
        <v>0.29359535149963817</v>
      </c>
      <c r="D30" s="248">
        <f>[2]!srLETe2El(C7,D29,C25)</f>
        <v>0.29792906746031739</v>
      </c>
      <c r="E30" s="249">
        <f>[2]!srLETn2El(C7,E29,C25)</f>
        <v>8.3282794249775344E-5</v>
      </c>
      <c r="F30" s="244" t="s">
        <v>0</v>
      </c>
      <c r="G30" s="235" t="s">
        <v>258</v>
      </c>
    </row>
    <row r="31" spans="2:16">
      <c r="B31" s="258" t="s">
        <v>219</v>
      </c>
      <c r="C31" s="250">
        <f>[2]!srLETt2Eh(C7,C29,C25)</f>
        <v>11.252880963598027</v>
      </c>
      <c r="D31" s="250">
        <f>[2]!srLETe2Eh(C7,D29,C25)</f>
        <v>11.302759740259743</v>
      </c>
      <c r="E31" s="251">
        <f>[2]!srLETn2Eh(C7,E29,C25)</f>
        <v>5.7455660835762888E-3</v>
      </c>
      <c r="F31" s="244" t="s">
        <v>0</v>
      </c>
      <c r="G31" s="235" t="s">
        <v>260</v>
      </c>
    </row>
    <row r="32" spans="2:16">
      <c r="B32" s="168"/>
      <c r="C32" s="169"/>
      <c r="D32" s="151"/>
      <c r="E32" s="138"/>
      <c r="F32" s="138"/>
    </row>
    <row r="33" spans="1:8">
      <c r="A33" s="144"/>
      <c r="B33" s="170">
        <v>10</v>
      </c>
      <c r="C33" s="140" t="s">
        <v>274</v>
      </c>
      <c r="D33" s="138"/>
      <c r="E33" s="138"/>
      <c r="F33" s="138"/>
      <c r="G33" s="144"/>
      <c r="H33" s="144"/>
    </row>
    <row r="34" spans="1:8">
      <c r="A34" s="144"/>
      <c r="B34" s="171">
        <v>1</v>
      </c>
      <c r="C34" s="140" t="s">
        <v>220</v>
      </c>
      <c r="D34" s="138"/>
      <c r="E34" s="138"/>
      <c r="F34" s="138"/>
      <c r="G34" s="144"/>
      <c r="H34" s="144"/>
    </row>
    <row r="35" spans="1:8">
      <c r="A35" s="144"/>
      <c r="B35" s="268" t="s">
        <v>4</v>
      </c>
      <c r="C35" s="269" t="s">
        <v>275</v>
      </c>
      <c r="D35" s="270" t="s">
        <v>276</v>
      </c>
      <c r="E35" s="271" t="s">
        <v>277</v>
      </c>
      <c r="F35" s="272" t="s">
        <v>224</v>
      </c>
      <c r="G35" s="280" t="s">
        <v>225</v>
      </c>
      <c r="H35" s="281" t="s">
        <v>226</v>
      </c>
    </row>
    <row r="36" spans="1:8">
      <c r="A36" s="144"/>
      <c r="B36" s="273" t="s">
        <v>3</v>
      </c>
      <c r="C36" s="274" t="s">
        <v>227</v>
      </c>
      <c r="D36" s="275"/>
      <c r="E36" s="276"/>
      <c r="F36" s="277" t="s">
        <v>228</v>
      </c>
      <c r="G36" s="278" t="s">
        <v>228</v>
      </c>
      <c r="H36" s="279" t="s">
        <v>228</v>
      </c>
    </row>
    <row r="37" spans="1:8" ht="6.75" customHeight="1">
      <c r="A37" s="144"/>
      <c r="B37" s="183"/>
      <c r="C37" s="144"/>
      <c r="D37" s="138"/>
      <c r="E37" s="138"/>
      <c r="F37" s="153"/>
      <c r="G37" s="153"/>
      <c r="H37" s="153"/>
    </row>
    <row r="38" spans="1:8">
      <c r="A38" s="144"/>
      <c r="B38" s="184">
        <v>12.56</v>
      </c>
      <c r="C38" s="260">
        <f>[2]!srE2LETe($C$7,B38,0)</f>
        <v>32.070832000000003</v>
      </c>
      <c r="D38" s="261">
        <f>[2]!srE2LETn($C$7,B38,0)</f>
        <v>1.7440911999999999E-2</v>
      </c>
      <c r="E38" s="262">
        <f>[2]!srE2LETt($C$7,B38,0)</f>
        <v>32.088272912000001</v>
      </c>
      <c r="F38" s="263">
        <f>[2]!srE2Rng($C$7,B38)</f>
        <v>225811.32800000001</v>
      </c>
      <c r="G38" s="261">
        <f>[2]!srE2StLng($C$7,B38)</f>
        <v>7559.8560000000007</v>
      </c>
      <c r="H38" s="262">
        <f>[2]!srE2StLtr($C$7,B38)</f>
        <v>1478.528</v>
      </c>
    </row>
    <row r="39" spans="1:8" ht="13.2" customHeight="1">
      <c r="A39" s="144"/>
      <c r="B39" s="266" t="s">
        <v>4</v>
      </c>
      <c r="C39" s="235" t="s">
        <v>267</v>
      </c>
      <c r="D39" s="235"/>
      <c r="E39" s="235" t="s">
        <v>269</v>
      </c>
      <c r="F39" s="235"/>
      <c r="G39" s="235" t="s">
        <v>271</v>
      </c>
      <c r="H39" s="235"/>
    </row>
    <row r="40" spans="1:8" ht="13.2" customHeight="1">
      <c r="A40" s="144"/>
      <c r="B40" s="266"/>
      <c r="C40" s="235"/>
      <c r="D40" s="235" t="s">
        <v>268</v>
      </c>
      <c r="E40" s="235"/>
      <c r="F40" s="235" t="s">
        <v>270</v>
      </c>
      <c r="G40" s="235"/>
      <c r="H40" s="235" t="s">
        <v>272</v>
      </c>
    </row>
    <row r="41" spans="1:8">
      <c r="A41" s="185"/>
      <c r="B41" s="264">
        <f>B33</f>
        <v>10</v>
      </c>
      <c r="C41" s="186">
        <f>[2]!srE2LETe($C$7,B41,0)</f>
        <v>35.841999999999999</v>
      </c>
      <c r="D41" s="186">
        <f>[2]!srE2LETn($C$7,B41,0)</f>
        <v>2.1333999999999999E-2</v>
      </c>
      <c r="E41" s="186">
        <f>[2]!srE2LETt($C$7,B41,0)</f>
        <v>35.863334000000002</v>
      </c>
      <c r="F41" s="186">
        <f>[2]!srE2Rng($C$7,B41)</f>
        <v>173122</v>
      </c>
      <c r="G41" s="186">
        <f>[2]!srE2StLng($C$7,B41)</f>
        <v>5584</v>
      </c>
      <c r="H41" s="186">
        <f>[2]!srE2StLtr($C$7,B41)</f>
        <v>1338</v>
      </c>
    </row>
    <row r="42" spans="1:8">
      <c r="B42" s="264">
        <f>B41+B$34</f>
        <v>11</v>
      </c>
      <c r="C42" s="186">
        <f>[2]!srE2LETe($C$7,B42,0)</f>
        <v>34.327599999999997</v>
      </c>
      <c r="D42" s="186">
        <f>[2]!srE2LETn($C$7,B42,0)</f>
        <v>1.95952E-2</v>
      </c>
      <c r="E42" s="186">
        <f>[2]!srE2LETt($C$7,B42,0)</f>
        <v>34.347195200000002</v>
      </c>
      <c r="F42" s="186">
        <f>[2]!srE2Rng($C$7,B42)</f>
        <v>192972.40000000002</v>
      </c>
      <c r="G42" s="186">
        <f>[2]!srE2StLng($C$7,B42)</f>
        <v>6378.4000000000005</v>
      </c>
      <c r="H42" s="186">
        <f>[2]!srE2StLtr($C$7,B42)</f>
        <v>1394.4</v>
      </c>
    </row>
    <row r="43" spans="1:8">
      <c r="B43" s="264">
        <f t="shared" ref="B43:B90" si="1">B42+B$34</f>
        <v>12</v>
      </c>
      <c r="C43" s="186">
        <f>[2]!srE2LETe($C$7,B43,0)</f>
        <v>32.856400000000001</v>
      </c>
      <c r="D43" s="186">
        <f>[2]!srE2LETn($C$7,B43,0)</f>
        <v>1.81324E-2</v>
      </c>
      <c r="E43" s="186">
        <f>[2]!srE2LETt($C$7,B43,0)</f>
        <v>32.874532400000007</v>
      </c>
      <c r="F43" s="186">
        <f>[2]!srE2Rng($C$7,B43)</f>
        <v>213665.6</v>
      </c>
      <c r="G43" s="186">
        <f>[2]!srE2StLng($C$7,B43)</f>
        <v>7141.2</v>
      </c>
      <c r="H43" s="186">
        <f>[2]!srE2StLtr($C$7,B43)</f>
        <v>1445.6</v>
      </c>
    </row>
    <row r="44" spans="1:8">
      <c r="B44" s="264">
        <f t="shared" si="1"/>
        <v>13</v>
      </c>
      <c r="C44" s="186">
        <f>[2]!srE2LETe($C$7,B44,0)</f>
        <v>31.453600000000002</v>
      </c>
      <c r="D44" s="186">
        <f>[2]!srE2LETn($C$7,B44,0)</f>
        <v>1.6897599999999999E-2</v>
      </c>
      <c r="E44" s="186">
        <f>[2]!srE2LETt($C$7,B44,0)</f>
        <v>31.470497600000002</v>
      </c>
      <c r="F44" s="186">
        <f>[2]!srE2Rng($C$7,B44)</f>
        <v>235354.4</v>
      </c>
      <c r="G44" s="186">
        <f>[2]!srE2StLng($C$7,B44)</f>
        <v>7888.8</v>
      </c>
      <c r="H44" s="186">
        <f>[2]!srE2StLtr($C$7,B44)</f>
        <v>1504.4</v>
      </c>
    </row>
    <row r="45" spans="1:8">
      <c r="B45" s="264">
        <f t="shared" si="1"/>
        <v>14</v>
      </c>
      <c r="C45" s="186">
        <f>[2]!srE2LETe($C$7,B45,0)</f>
        <v>30.126799999999999</v>
      </c>
      <c r="D45" s="186">
        <f>[2]!srE2LETn($C$7,B45,0)</f>
        <v>1.583E-2</v>
      </c>
      <c r="E45" s="186">
        <f>[2]!srE2LETt($C$7,B45,0)</f>
        <v>30.14263</v>
      </c>
      <c r="F45" s="186">
        <f>[2]!srE2Rng($C$7,B45)</f>
        <v>258084.4</v>
      </c>
      <c r="G45" s="186">
        <f>[2]!srE2StLng($C$7,B45)</f>
        <v>8628.7999999999993</v>
      </c>
      <c r="H45" s="186">
        <f>[2]!srE2StLtr($C$7,B45)</f>
        <v>1570.8</v>
      </c>
    </row>
    <row r="46" spans="1:8">
      <c r="B46" s="264">
        <f t="shared" si="1"/>
        <v>15</v>
      </c>
      <c r="C46" s="186">
        <f>[2]!srE2LETe($C$7,B46,0)</f>
        <v>28.880000000000003</v>
      </c>
      <c r="D46" s="186">
        <f>[2]!srE2LETn($C$7,B46,0)</f>
        <v>1.4894000000000001E-2</v>
      </c>
      <c r="E46" s="186">
        <f>[2]!srE2LETt($C$7,B46,0)</f>
        <v>28.894894000000001</v>
      </c>
      <c r="F46" s="186">
        <f>[2]!srE2Rng($C$7,B46)</f>
        <v>281764</v>
      </c>
      <c r="G46" s="186">
        <f>[2]!srE2StLng($C$7,B46)</f>
        <v>9368</v>
      </c>
      <c r="H46" s="186">
        <f>[2]!srE2StLtr($C$7,B46)</f>
        <v>1632</v>
      </c>
    </row>
    <row r="47" spans="1:8">
      <c r="B47" s="264">
        <f t="shared" si="1"/>
        <v>16</v>
      </c>
      <c r="C47" s="186">
        <f>[2]!srE2LETe($C$7,B47,0)</f>
        <v>27.7148</v>
      </c>
      <c r="D47" s="186">
        <f>[2]!srE2LETn($C$7,B47,0)</f>
        <v>1.40652E-2</v>
      </c>
      <c r="E47" s="186">
        <f>[2]!srE2LETt($C$7,B47,0)</f>
        <v>27.728865199999998</v>
      </c>
      <c r="F47" s="186">
        <f>[2]!srE2Rng($C$7,B47)</f>
        <v>306417.59999999998</v>
      </c>
      <c r="G47" s="186">
        <f>[2]!srE2StLng($C$7,B47)</f>
        <v>10111.6</v>
      </c>
      <c r="H47" s="186">
        <f>[2]!srE2StLtr($C$7,B47)</f>
        <v>1699.6</v>
      </c>
    </row>
    <row r="48" spans="1:8">
      <c r="B48" s="264">
        <f t="shared" si="1"/>
        <v>17</v>
      </c>
      <c r="C48" s="186">
        <f>[2]!srE2LETe($C$7,B48,0)</f>
        <v>26.628399999999999</v>
      </c>
      <c r="D48" s="186">
        <f>[2]!srE2LETn($C$7,B48,0)</f>
        <v>1.3325999999999999E-2</v>
      </c>
      <c r="E48" s="186">
        <f>[2]!srE2LETt($C$7,B48,0)</f>
        <v>26.641725999999998</v>
      </c>
      <c r="F48" s="186">
        <f>[2]!srE2Rng($C$7,B48)</f>
        <v>332057.19999999995</v>
      </c>
      <c r="G48" s="186">
        <f>[2]!srE2StLng($C$7,B48)</f>
        <v>10862</v>
      </c>
      <c r="H48" s="186">
        <f>[2]!srE2StLtr($C$7,B48)</f>
        <v>1772.3999999999999</v>
      </c>
    </row>
    <row r="49" spans="2:8">
      <c r="B49" s="264">
        <f t="shared" si="1"/>
        <v>18</v>
      </c>
      <c r="C49" s="186">
        <f>[2]!srE2LETe($C$7,B49,0)</f>
        <v>25.616800000000001</v>
      </c>
      <c r="D49" s="186">
        <f>[2]!srE2LETn($C$7,B49,0)</f>
        <v>1.26648E-2</v>
      </c>
      <c r="E49" s="186">
        <f>[2]!srE2LETt($C$7,B49,0)</f>
        <v>25.629464800000001</v>
      </c>
      <c r="F49" s="186">
        <f>[2]!srE2Rng($C$7,B49)</f>
        <v>358684</v>
      </c>
      <c r="G49" s="186">
        <f>[2]!srE2StLng($C$7,B49)</f>
        <v>11619.199999999999</v>
      </c>
      <c r="H49" s="186">
        <f>[2]!srE2StLtr($C$7,B49)</f>
        <v>1840.8</v>
      </c>
    </row>
    <row r="50" spans="2:8">
      <c r="B50" s="264">
        <f t="shared" si="1"/>
        <v>19</v>
      </c>
      <c r="C50" s="186">
        <f>[2]!srE2LETe($C$7,B50,0)</f>
        <v>24.6844</v>
      </c>
      <c r="D50" s="186">
        <f>[2]!srE2LETn($C$7,B50,0)</f>
        <v>1.20684E-2</v>
      </c>
      <c r="E50" s="186">
        <f>[2]!srE2LETt($C$7,B50,0)</f>
        <v>24.696468400000001</v>
      </c>
      <c r="F50" s="186">
        <f>[2]!srE2Rng($C$7,B50)</f>
        <v>386362</v>
      </c>
      <c r="G50" s="186">
        <f>[2]!srE2StLng($C$7,B50)</f>
        <v>12383.6</v>
      </c>
      <c r="H50" s="186">
        <f>[2]!srE2StLtr($C$7,B50)</f>
        <v>1916.4</v>
      </c>
    </row>
    <row r="51" spans="2:8">
      <c r="B51" s="264">
        <f t="shared" si="1"/>
        <v>20</v>
      </c>
      <c r="C51" s="186">
        <f>[2]!srE2LETe($C$7,B51,0)</f>
        <v>23.84</v>
      </c>
      <c r="D51" s="186">
        <f>[2]!srE2LETn($C$7,B51,0)</f>
        <v>1.1528E-2</v>
      </c>
      <c r="E51" s="186">
        <f>[2]!srE2LETt($C$7,B51,0)</f>
        <v>23.851527999999998</v>
      </c>
      <c r="F51" s="186">
        <f>[2]!srE2Rng($C$7,B51)</f>
        <v>415184</v>
      </c>
      <c r="G51" s="186">
        <f>[2]!srE2StLng($C$7,B51)</f>
        <v>13156</v>
      </c>
      <c r="H51" s="186">
        <f>[2]!srE2StLtr($C$7,B51)</f>
        <v>2000</v>
      </c>
    </row>
    <row r="52" spans="2:8">
      <c r="B52" s="264">
        <f t="shared" si="1"/>
        <v>21</v>
      </c>
      <c r="C52" s="186">
        <f>[2]!srE2LETe($C$7,B52,0)</f>
        <v>23.063999999999997</v>
      </c>
      <c r="D52" s="186">
        <f>[2]!srE2LETn($C$7,B52,0)</f>
        <v>1.10416E-2</v>
      </c>
      <c r="E52" s="186">
        <f>[2]!srE2LETt($C$7,B52,0)</f>
        <v>23.075041599999999</v>
      </c>
      <c r="F52" s="186">
        <f>[2]!srE2Rng($C$7,B52)</f>
        <v>444959.2</v>
      </c>
      <c r="G52" s="186">
        <f>[2]!srE2StLng($C$7,B52)</f>
        <v>13935.2</v>
      </c>
      <c r="H52" s="186">
        <f>[2]!srE2StLtr($C$7,B52)</f>
        <v>2084</v>
      </c>
    </row>
    <row r="53" spans="2:8">
      <c r="B53" s="264">
        <f t="shared" si="1"/>
        <v>22</v>
      </c>
      <c r="C53" s="186">
        <f>[2]!srE2LETe($C$7,B53,0)</f>
        <v>22.38</v>
      </c>
      <c r="D53" s="186">
        <f>[2]!srE2LETn($C$7,B53,0)</f>
        <v>1.060672E-2</v>
      </c>
      <c r="E53" s="186">
        <f>[2]!srE2LETt($C$7,B53,0)</f>
        <v>22.390606720000001</v>
      </c>
      <c r="F53" s="186">
        <f>[2]!srE2Rng($C$7,B53)</f>
        <v>475967.2</v>
      </c>
      <c r="G53" s="186">
        <f>[2]!srE2StLng($C$7,B53)</f>
        <v>15124.400000000001</v>
      </c>
      <c r="H53" s="186">
        <f>[2]!srE2StLtr($C$7,B53)</f>
        <v>2170.4</v>
      </c>
    </row>
    <row r="54" spans="2:8">
      <c r="B54" s="264">
        <f t="shared" si="1"/>
        <v>23</v>
      </c>
      <c r="C54" s="186">
        <f>[2]!srE2LETe($C$7,B54,0)</f>
        <v>21.75</v>
      </c>
      <c r="D54" s="186">
        <f>[2]!srE2LETn($C$7,B54,0)</f>
        <v>1.0198479999999999E-2</v>
      </c>
      <c r="E54" s="186">
        <f>[2]!srE2LETt($C$7,B54,0)</f>
        <v>21.76019848</v>
      </c>
      <c r="F54" s="186">
        <f>[2]!srE2Rng($C$7,B54)</f>
        <v>507689.8</v>
      </c>
      <c r="G54" s="186">
        <f>[2]!srE2StLng($C$7,B54)</f>
        <v>16619.599999999999</v>
      </c>
      <c r="H54" s="186">
        <f>[2]!srE2StLtr($C$7,B54)</f>
        <v>2258.6</v>
      </c>
    </row>
    <row r="55" spans="2:8">
      <c r="B55" s="264">
        <f t="shared" si="1"/>
        <v>24</v>
      </c>
      <c r="C55" s="186">
        <f>[2]!srE2LETe($C$7,B55,0)</f>
        <v>21.149759999999997</v>
      </c>
      <c r="D55" s="186">
        <f>[2]!srE2LETn($C$7,B55,0)</f>
        <v>9.8050240000000007E-3</v>
      </c>
      <c r="E55" s="186">
        <f>[2]!srE2LETt($C$7,B55,0)</f>
        <v>21.159565023999999</v>
      </c>
      <c r="F55" s="186">
        <f>[2]!srE2Rng($C$7,B55)</f>
        <v>539841.67999999993</v>
      </c>
      <c r="G55" s="186">
        <f>[2]!srE2StLng($C$7,B55)</f>
        <v>18152.559999999998</v>
      </c>
      <c r="H55" s="186">
        <f>[2]!srE2StLtr($C$7,B55)</f>
        <v>2348.56</v>
      </c>
    </row>
    <row r="56" spans="2:8">
      <c r="B56" s="264">
        <f t="shared" si="1"/>
        <v>25</v>
      </c>
      <c r="C56" s="186">
        <f>[2]!srE2LETe($C$7,B56,0)</f>
        <v>20.675999999999998</v>
      </c>
      <c r="D56" s="186">
        <f>[2]!srE2LETn($C$7,B56,0)</f>
        <v>9.4743999999999991E-3</v>
      </c>
      <c r="E56" s="186">
        <f>[2]!srE2LETt($C$7,B56,0)</f>
        <v>20.685474399999997</v>
      </c>
      <c r="F56" s="186">
        <f>[2]!srE2Rng($C$7,B56)</f>
        <v>573818</v>
      </c>
      <c r="G56" s="186">
        <f>[2]!srE2StLng($C$7,B56)</f>
        <v>19846</v>
      </c>
      <c r="H56" s="186">
        <f>[2]!srE2StLtr($C$7,B56)</f>
        <v>2446</v>
      </c>
    </row>
    <row r="57" spans="2:8">
      <c r="B57" s="264">
        <f t="shared" si="1"/>
        <v>26</v>
      </c>
      <c r="C57" s="186">
        <f>[2]!srE2LETe($C$7,B57,0)</f>
        <v>20.20224</v>
      </c>
      <c r="D57" s="186">
        <f>[2]!srE2LETn($C$7,B57,0)</f>
        <v>9.1437759999999993E-3</v>
      </c>
      <c r="E57" s="186">
        <f>[2]!srE2LETt($C$7,B57,0)</f>
        <v>20.211383775999998</v>
      </c>
      <c r="F57" s="186">
        <f>[2]!srE2Rng($C$7,B57)</f>
        <v>607794.32000000007</v>
      </c>
      <c r="G57" s="186">
        <f>[2]!srE2StLng($C$7,B57)</f>
        <v>21539.440000000002</v>
      </c>
      <c r="H57" s="186">
        <f>[2]!srE2StLtr($C$7,B57)</f>
        <v>2543.44</v>
      </c>
    </row>
    <row r="58" spans="2:8">
      <c r="B58" s="264">
        <f t="shared" si="1"/>
        <v>27</v>
      </c>
      <c r="C58" s="186">
        <f>[2]!srE2LETe($C$7,B58,0)</f>
        <v>19.761599999999998</v>
      </c>
      <c r="D58" s="186">
        <f>[2]!srE2LETn($C$7,B58,0)</f>
        <v>8.8265439999999987E-3</v>
      </c>
      <c r="E58" s="186">
        <f>[2]!srE2LETt($C$7,B58,0)</f>
        <v>19.770426543999996</v>
      </c>
      <c r="F58" s="186">
        <f>[2]!srE2Rng($C$7,B58)</f>
        <v>642210.56000000006</v>
      </c>
      <c r="G58" s="186">
        <f>[2]!srE2StLng($C$7,B58)</f>
        <v>23199.040000000001</v>
      </c>
      <c r="H58" s="186">
        <f>[2]!srE2StLtr($C$7,B58)</f>
        <v>2642.32</v>
      </c>
    </row>
    <row r="59" spans="2:8">
      <c r="B59" s="264">
        <f t="shared" si="1"/>
        <v>28</v>
      </c>
      <c r="C59" s="186">
        <f>[2]!srE2LETe($C$7,B59,0)</f>
        <v>19.442399999999999</v>
      </c>
      <c r="D59" s="186">
        <f>[2]!srE2LETn($C$7,B59,0)</f>
        <v>8.5584159999999992E-3</v>
      </c>
      <c r="E59" s="186">
        <f>[2]!srE2LETt($C$7,B59,0)</f>
        <v>19.450958415999995</v>
      </c>
      <c r="F59" s="186">
        <f>[2]!srE2Rng($C$7,B59)</f>
        <v>678239.84</v>
      </c>
      <c r="G59" s="186">
        <f>[2]!srE2StLng($C$7,B59)</f>
        <v>24734.560000000001</v>
      </c>
      <c r="H59" s="186">
        <f>[2]!srE2StLtr($C$7,B59)</f>
        <v>2746.48</v>
      </c>
    </row>
    <row r="60" spans="2:8">
      <c r="B60" s="264">
        <f t="shared" si="1"/>
        <v>29</v>
      </c>
      <c r="C60" s="186">
        <f>[2]!srE2LETe($C$7,B60,0)</f>
        <v>19.123200000000001</v>
      </c>
      <c r="D60" s="186">
        <f>[2]!srE2LETn($C$7,B60,0)</f>
        <v>8.2902879999999998E-3</v>
      </c>
      <c r="E60" s="186">
        <f>[2]!srE2LETt($C$7,B60,0)</f>
        <v>19.131490287999998</v>
      </c>
      <c r="F60" s="186">
        <f>[2]!srE2Rng($C$7,B60)</f>
        <v>714269.12</v>
      </c>
      <c r="G60" s="186">
        <f>[2]!srE2StLng($C$7,B60)</f>
        <v>26270.079999999998</v>
      </c>
      <c r="H60" s="186">
        <f>[2]!srE2StLtr($C$7,B60)</f>
        <v>2850.64</v>
      </c>
    </row>
    <row r="61" spans="2:8">
      <c r="B61" s="264">
        <f t="shared" si="1"/>
        <v>30</v>
      </c>
      <c r="C61" s="186">
        <f>[2]!srE2LETe($C$7,B61,0)</f>
        <v>18.790399999999998</v>
      </c>
      <c r="D61" s="186">
        <f>[2]!srE2LETn($C$7,B61,0)</f>
        <v>8.0331199999999995E-3</v>
      </c>
      <c r="E61" s="186">
        <f>[2]!srE2LETt($C$7,B61,0)</f>
        <v>18.798433119999999</v>
      </c>
      <c r="F61" s="186">
        <f>[2]!srE2Rng($C$7,B61)</f>
        <v>750785.6</v>
      </c>
      <c r="G61" s="186">
        <f>[2]!srE2StLng($C$7,B61)</f>
        <v>27788</v>
      </c>
      <c r="H61" s="186">
        <f>[2]!srE2StLtr($C$7,B61)</f>
        <v>2956.4</v>
      </c>
    </row>
    <row r="62" spans="2:8">
      <c r="B62" s="264">
        <f t="shared" si="1"/>
        <v>31</v>
      </c>
      <c r="C62" s="186">
        <f>[2]!srE2LETe($C$7,B62,0)</f>
        <v>18.414080000000002</v>
      </c>
      <c r="D62" s="186">
        <f>[2]!srE2LETn($C$7,B62,0)</f>
        <v>7.8110239999999997E-3</v>
      </c>
      <c r="E62" s="186">
        <f>[2]!srE2LETt($C$7,B62,0)</f>
        <v>18.421891024000001</v>
      </c>
      <c r="F62" s="186">
        <f>[2]!srE2Rng($C$7,B62)</f>
        <v>788861.12</v>
      </c>
      <c r="G62" s="186">
        <f>[2]!srE2StLng($C$7,B62)</f>
        <v>29249.599999999999</v>
      </c>
      <c r="H62" s="186">
        <f>[2]!srE2StLtr($C$7,B62)</f>
        <v>3067.2799999999997</v>
      </c>
    </row>
    <row r="63" spans="2:8">
      <c r="B63" s="264">
        <f t="shared" si="1"/>
        <v>32</v>
      </c>
      <c r="C63" s="186">
        <f>[2]!srE2LETe($C$7,B63,0)</f>
        <v>18.037760000000002</v>
      </c>
      <c r="D63" s="186">
        <f>[2]!srE2LETn($C$7,B63,0)</f>
        <v>7.5889280000000009E-3</v>
      </c>
      <c r="E63" s="186">
        <f>[2]!srE2LETt($C$7,B63,0)</f>
        <v>18.045348928000003</v>
      </c>
      <c r="F63" s="186">
        <f>[2]!srE2Rng($C$7,B63)</f>
        <v>826936.6399999999</v>
      </c>
      <c r="G63" s="186">
        <f>[2]!srE2StLng($C$7,B63)</f>
        <v>30711.199999999997</v>
      </c>
      <c r="H63" s="186">
        <f>[2]!srE2StLtr($C$7,B63)</f>
        <v>3178.16</v>
      </c>
    </row>
    <row r="64" spans="2:8">
      <c r="B64" s="264">
        <f t="shared" si="1"/>
        <v>33</v>
      </c>
      <c r="C64" s="186">
        <f>[2]!srE2LETe($C$7,B64,0)</f>
        <v>17.670240000000003</v>
      </c>
      <c r="D64" s="186">
        <f>[2]!srE2LETn($C$7,B64,0)</f>
        <v>7.3759840000000004E-3</v>
      </c>
      <c r="E64" s="186">
        <f>[2]!srE2LETt($C$7,B64,0)</f>
        <v>17.677615984000003</v>
      </c>
      <c r="F64" s="186">
        <f>[2]!srE2Rng($C$7,B64)</f>
        <v>865632.55999999994</v>
      </c>
      <c r="G64" s="186">
        <f>[2]!srE2StLng($C$7,B64)</f>
        <v>32165.759999999998</v>
      </c>
      <c r="H64" s="186">
        <f>[2]!srE2StLtr($C$7,B64)</f>
        <v>3289.9199999999996</v>
      </c>
    </row>
    <row r="65" spans="2:8">
      <c r="B65" s="264">
        <f t="shared" si="1"/>
        <v>34</v>
      </c>
      <c r="C65" s="186">
        <f>[2]!srE2LETe($C$7,B65,0)</f>
        <v>17.32752</v>
      </c>
      <c r="D65" s="186">
        <f>[2]!srE2LETn($C$7,B65,0)</f>
        <v>7.188832E-3</v>
      </c>
      <c r="E65" s="186">
        <f>[2]!srE2LETt($C$7,B65,0)</f>
        <v>17.334708832</v>
      </c>
      <c r="F65" s="186">
        <f>[2]!srE2Rng($C$7,B65)</f>
        <v>906076.87999999989</v>
      </c>
      <c r="G65" s="186">
        <f>[2]!srE2StLng($C$7,B65)</f>
        <v>33600.479999999996</v>
      </c>
      <c r="H65" s="186">
        <f>[2]!srE2StLtr($C$7,B65)</f>
        <v>3404.16</v>
      </c>
    </row>
    <row r="66" spans="2:8">
      <c r="B66" s="264">
        <f t="shared" si="1"/>
        <v>35</v>
      </c>
      <c r="C66" s="186">
        <f>[2]!srE2LETe($C$7,B66,0)</f>
        <v>16.9848</v>
      </c>
      <c r="D66" s="186">
        <f>[2]!srE2LETn($C$7,B66,0)</f>
        <v>7.0016800000000006E-3</v>
      </c>
      <c r="E66" s="186">
        <f>[2]!srE2LETt($C$7,B66,0)</f>
        <v>16.991801680000002</v>
      </c>
      <c r="F66" s="186">
        <f>[2]!srE2Rng($C$7,B66)</f>
        <v>946521.2</v>
      </c>
      <c r="G66" s="186">
        <f>[2]!srE2StLng($C$7,B66)</f>
        <v>35035.199999999997</v>
      </c>
      <c r="H66" s="186">
        <f>[2]!srE2StLtr($C$7,B66)</f>
        <v>3518.3999999999996</v>
      </c>
    </row>
    <row r="67" spans="2:8">
      <c r="B67" s="264">
        <f t="shared" si="1"/>
        <v>36</v>
      </c>
      <c r="C67" s="186">
        <f>[2]!srE2LETe($C$7,B67,0)</f>
        <v>16.653599999999997</v>
      </c>
      <c r="D67" s="186">
        <f>[2]!srE2LETn($C$7,B67,0)</f>
        <v>6.8224000000000002E-3</v>
      </c>
      <c r="E67" s="186">
        <f>[2]!srE2LETt($C$7,B67,0)</f>
        <v>16.660422399999998</v>
      </c>
      <c r="F67" s="186">
        <f>[2]!srE2Rng($C$7,B67)</f>
        <v>987370.6399999999</v>
      </c>
      <c r="G67" s="186">
        <f>[2]!srE2StLng($C$7,B67)</f>
        <v>36468.959999999999</v>
      </c>
      <c r="H67" s="186">
        <f>[2]!srE2StLtr($C$7,B67)</f>
        <v>3635.52</v>
      </c>
    </row>
    <row r="68" spans="2:8">
      <c r="B68" s="264">
        <f t="shared" si="1"/>
        <v>37</v>
      </c>
      <c r="C68" s="186">
        <f>[2]!srE2LETe($C$7,B68,0)</f>
        <v>16.351199999999999</v>
      </c>
      <c r="D68" s="186">
        <f>[2]!srE2LETn($C$7,B68,0)</f>
        <v>6.6628E-3</v>
      </c>
      <c r="E68" s="186">
        <f>[2]!srE2LETt($C$7,B68,0)</f>
        <v>16.357862799999999</v>
      </c>
      <c r="F68" s="186">
        <f>[2]!srE2Rng($C$7,B68)</f>
        <v>1029232.88</v>
      </c>
      <c r="G68" s="186">
        <f>[2]!srE2StLng($C$7,B68)</f>
        <v>37900.32</v>
      </c>
      <c r="H68" s="186">
        <f>[2]!srE2StLtr($C$7,B68)</f>
        <v>3759.84</v>
      </c>
    </row>
    <row r="69" spans="2:8">
      <c r="B69" s="264">
        <f t="shared" si="1"/>
        <v>38</v>
      </c>
      <c r="C69" s="186">
        <f>[2]!srE2LETe($C$7,B69,0)</f>
        <v>16.0488</v>
      </c>
      <c r="D69" s="186">
        <f>[2]!srE2LETn($C$7,B69,0)</f>
        <v>6.5031999999999998E-3</v>
      </c>
      <c r="E69" s="186">
        <f>[2]!srE2LETt($C$7,B69,0)</f>
        <v>16.055303199999997</v>
      </c>
      <c r="F69" s="186">
        <f>[2]!srE2Rng($C$7,B69)</f>
        <v>1071095.1200000001</v>
      </c>
      <c r="G69" s="186">
        <f>[2]!srE2StLng($C$7,B69)</f>
        <v>39331.68</v>
      </c>
      <c r="H69" s="186">
        <f>[2]!srE2StLtr($C$7,B69)</f>
        <v>3884.16</v>
      </c>
    </row>
    <row r="70" spans="2:8">
      <c r="B70" s="264">
        <f t="shared" si="1"/>
        <v>39</v>
      </c>
      <c r="C70" s="186">
        <f>[2]!srE2LETe($C$7,B70,0)</f>
        <v>15.75784</v>
      </c>
      <c r="D70" s="186">
        <f>[2]!srE2LETn($C$7,B70,0)</f>
        <v>6.3501520000000004E-3</v>
      </c>
      <c r="E70" s="186">
        <f>[2]!srE2LETt($C$7,B70,0)</f>
        <v>15.764190151999999</v>
      </c>
      <c r="F70" s="186">
        <f>[2]!srE2Rng($C$7,B70)</f>
        <v>1114560</v>
      </c>
      <c r="G70" s="186">
        <f>[2]!srE2StLng($C$7,B70)</f>
        <v>40763.040000000001</v>
      </c>
      <c r="H70" s="186">
        <f>[2]!srE2StLtr($C$7,B70)</f>
        <v>4009.52</v>
      </c>
    </row>
    <row r="71" spans="2:8">
      <c r="B71" s="264">
        <f t="shared" si="1"/>
        <v>40</v>
      </c>
      <c r="C71" s="186">
        <f>[2]!srE2LETe($C$7,B71,0)</f>
        <v>15.4924</v>
      </c>
      <c r="D71" s="186">
        <f>[2]!srE2LETn($C$7,B71,0)</f>
        <v>6.2117200000000004E-3</v>
      </c>
      <c r="E71" s="186">
        <f>[2]!srE2LETt($C$7,B71,0)</f>
        <v>15.49861172</v>
      </c>
      <c r="F71" s="186">
        <f>[2]!srE2Rng($C$7,B71)</f>
        <v>1161600</v>
      </c>
      <c r="G71" s="186">
        <f>[2]!srE2StLng($C$7,B71)</f>
        <v>42194.400000000001</v>
      </c>
      <c r="H71" s="186">
        <f>[2]!srE2StLtr($C$7,B71)</f>
        <v>4137.2</v>
      </c>
    </row>
    <row r="72" spans="2:8">
      <c r="B72" s="264">
        <f t="shared" si="1"/>
        <v>41</v>
      </c>
      <c r="C72" s="186">
        <f>[2]!srE2LETe($C$7,B72,0)</f>
        <v>15.22696</v>
      </c>
      <c r="D72" s="186">
        <f>[2]!srE2LETn($C$7,B72,0)</f>
        <v>6.0732879999999996E-3</v>
      </c>
      <c r="E72" s="186">
        <f>[2]!srE2LETt($C$7,B72,0)</f>
        <v>15.233033288</v>
      </c>
      <c r="F72" s="186">
        <f>[2]!srE2Rng($C$7,B72)</f>
        <v>1208640</v>
      </c>
      <c r="G72" s="186">
        <f>[2]!srE2StLng($C$7,B72)</f>
        <v>43625.760000000002</v>
      </c>
      <c r="H72" s="186">
        <f>[2]!srE2StLtr($C$7,B72)</f>
        <v>4264.88</v>
      </c>
    </row>
    <row r="73" spans="2:8">
      <c r="B73" s="264">
        <f t="shared" si="1"/>
        <v>42</v>
      </c>
      <c r="C73" s="186">
        <f>[2]!srE2LETe($C$7,B73,0)</f>
        <v>14.9716</v>
      </c>
      <c r="D73" s="186">
        <f>[2]!srE2LETn($C$7,B73,0)</f>
        <v>5.9407920000000003E-3</v>
      </c>
      <c r="E73" s="186">
        <f>[2]!srE2LETt($C$7,B73,0)</f>
        <v>14.977540792000001</v>
      </c>
      <c r="F73" s="186">
        <f>[2]!srE2Rng($C$7,B73)</f>
        <v>1255680</v>
      </c>
      <c r="G73" s="186">
        <f>[2]!srE2StLng($C$7,B73)</f>
        <v>45059.360000000001</v>
      </c>
      <c r="H73" s="186">
        <f>[2]!srE2StLtr($C$7,B73)</f>
        <v>4394.8</v>
      </c>
    </row>
    <row r="74" spans="2:8">
      <c r="B74" s="264">
        <f t="shared" si="1"/>
        <v>43</v>
      </c>
      <c r="C74" s="186">
        <f>[2]!srE2LETe($C$7,B74,0)</f>
        <v>14.7364</v>
      </c>
      <c r="D74" s="186">
        <f>[2]!srE2LETn($C$7,B74,0)</f>
        <v>5.8201680000000006E-3</v>
      </c>
      <c r="E74" s="186">
        <f>[2]!srE2LETt($C$7,B74,0)</f>
        <v>14.742220168000001</v>
      </c>
      <c r="F74" s="186">
        <f>[2]!srE2Rng($C$7,B74)</f>
        <v>1302720</v>
      </c>
      <c r="G74" s="186">
        <f>[2]!srE2StLng($C$7,B74)</f>
        <v>46497.440000000002</v>
      </c>
      <c r="H74" s="186">
        <f>[2]!srE2StLtr($C$7,B74)</f>
        <v>4529.2</v>
      </c>
    </row>
    <row r="75" spans="2:8">
      <c r="B75" s="264">
        <f t="shared" si="1"/>
        <v>44</v>
      </c>
      <c r="C75" s="186">
        <f>[2]!srE2LETe($C$7,B75,0)</f>
        <v>14.501200000000001</v>
      </c>
      <c r="D75" s="186">
        <f>[2]!srE2LETn($C$7,B75,0)</f>
        <v>5.6995440000000008E-3</v>
      </c>
      <c r="E75" s="186">
        <f>[2]!srE2LETt($C$7,B75,0)</f>
        <v>14.506899544000001</v>
      </c>
      <c r="F75" s="186">
        <f>[2]!srE2Rng($C$7,B75)</f>
        <v>1349760</v>
      </c>
      <c r="G75" s="186">
        <f>[2]!srE2StLng($C$7,B75)</f>
        <v>47935.519999999997</v>
      </c>
      <c r="H75" s="186">
        <f>[2]!srE2StLtr($C$7,B75)</f>
        <v>4663.5999999999995</v>
      </c>
    </row>
    <row r="76" spans="2:8">
      <c r="B76" s="264">
        <f t="shared" si="1"/>
        <v>45</v>
      </c>
      <c r="C76" s="186">
        <f>[2]!srE2LETe($C$7,B76,0)</f>
        <v>14.273200000000001</v>
      </c>
      <c r="D76" s="186">
        <f>[2]!srE2LETn($C$7,B76,0)</f>
        <v>5.5839600000000007E-3</v>
      </c>
      <c r="E76" s="186">
        <f>[2]!srE2LETt($C$7,B76,0)</f>
        <v>14.27878396</v>
      </c>
      <c r="F76" s="186">
        <f>[2]!srE2Rng($C$7,B76)</f>
        <v>1397999.9999999998</v>
      </c>
      <c r="G76" s="186">
        <f>[2]!srE2StLng($C$7,B76)</f>
        <v>49375.999999999993</v>
      </c>
      <c r="H76" s="186">
        <f>[2]!srE2StLtr($C$7,B76)</f>
        <v>4800.3999999999996</v>
      </c>
    </row>
    <row r="77" spans="2:8">
      <c r="B77" s="264">
        <f t="shared" si="1"/>
        <v>46</v>
      </c>
      <c r="C77" s="186">
        <f>[2]!srE2LETe($C$7,B77,0)</f>
        <v>14.058160000000001</v>
      </c>
      <c r="D77" s="186">
        <f>[2]!srE2LETn($C$7,B77,0)</f>
        <v>5.4774480000000002E-3</v>
      </c>
      <c r="E77" s="186">
        <f>[2]!srE2LETt($C$7,B77,0)</f>
        <v>14.063637448000001</v>
      </c>
      <c r="F77" s="186">
        <f>[2]!srE2Rng($C$7,B77)</f>
        <v>1448400</v>
      </c>
      <c r="G77" s="186">
        <f>[2]!srE2StLng($C$7,B77)</f>
        <v>50820.799999999996</v>
      </c>
      <c r="H77" s="186">
        <f>[2]!srE2StLtr($C$7,B77)</f>
        <v>4941.5199999999995</v>
      </c>
    </row>
    <row r="78" spans="2:8">
      <c r="B78" s="264">
        <f t="shared" si="1"/>
        <v>47</v>
      </c>
      <c r="C78" s="186">
        <f>[2]!srE2LETe($C$7,B78,0)</f>
        <v>13.843120000000001</v>
      </c>
      <c r="D78" s="186">
        <f>[2]!srE2LETn($C$7,B78,0)</f>
        <v>5.3709359999999998E-3</v>
      </c>
      <c r="E78" s="186">
        <f>[2]!srE2LETt($C$7,B78,0)</f>
        <v>13.848490936000001</v>
      </c>
      <c r="F78" s="186">
        <f>[2]!srE2Rng($C$7,B78)</f>
        <v>1498800</v>
      </c>
      <c r="G78" s="186">
        <f>[2]!srE2StLng($C$7,B78)</f>
        <v>52265.599999999999</v>
      </c>
      <c r="H78" s="186">
        <f>[2]!srE2StLtr($C$7,B78)</f>
        <v>5082.6399999999994</v>
      </c>
    </row>
    <row r="79" spans="2:8">
      <c r="B79" s="264">
        <f t="shared" si="1"/>
        <v>48</v>
      </c>
      <c r="C79" s="186">
        <f>[2]!srE2LETe($C$7,B79,0)</f>
        <v>13.64024</v>
      </c>
      <c r="D79" s="186">
        <f>[2]!srE2LETn($C$7,B79,0)</f>
        <v>5.2708879999999996E-3</v>
      </c>
      <c r="E79" s="186">
        <f>[2]!srE2LETt($C$7,B79,0)</f>
        <v>13.645510888</v>
      </c>
      <c r="F79" s="186">
        <f>[2]!srE2Rng($C$7,B79)</f>
        <v>1549840</v>
      </c>
      <c r="G79" s="186">
        <f>[2]!srE2StLng($C$7,B79)</f>
        <v>54200.639999999999</v>
      </c>
      <c r="H79" s="186">
        <f>[2]!srE2StLtr($C$7,B79)</f>
        <v>5226.96</v>
      </c>
    </row>
    <row r="80" spans="2:8">
      <c r="B80" s="264">
        <f t="shared" si="1"/>
        <v>49</v>
      </c>
      <c r="C80" s="186">
        <f>[2]!srE2LETe($C$7,B80,0)</f>
        <v>13.45712</v>
      </c>
      <c r="D80" s="186">
        <f>[2]!srE2LETn($C$7,B80,0)</f>
        <v>5.1813440000000001E-3</v>
      </c>
      <c r="E80" s="186">
        <f>[2]!srE2LETt($C$7,B80,0)</f>
        <v>13.462301344</v>
      </c>
      <c r="F80" s="186">
        <f>[2]!srE2Rng($C$7,B80)</f>
        <v>1601920</v>
      </c>
      <c r="G80" s="186">
        <f>[2]!srE2StLng($C$7,B80)</f>
        <v>56932.32</v>
      </c>
      <c r="H80" s="186">
        <f>[2]!srE2StLtr($C$7,B80)</f>
        <v>5376.48</v>
      </c>
    </row>
    <row r="81" spans="1:8">
      <c r="B81" s="264">
        <f t="shared" si="1"/>
        <v>50</v>
      </c>
      <c r="C81" s="186">
        <f>[2]!srE2LETe($C$7,B81,0)</f>
        <v>13.274000000000001</v>
      </c>
      <c r="D81" s="186">
        <f>[2]!srE2LETn($C$7,B81,0)</f>
        <v>5.0917999999999996E-3</v>
      </c>
      <c r="E81" s="186">
        <f>[2]!srE2LETt($C$7,B81,0)</f>
        <v>13.2790918</v>
      </c>
      <c r="F81" s="186">
        <f>[2]!srE2Rng($C$7,B81)</f>
        <v>1654000</v>
      </c>
      <c r="G81" s="186">
        <f>[2]!srE2StLng($C$7,B81)</f>
        <v>59664</v>
      </c>
      <c r="H81" s="186">
        <f>[2]!srE2StLtr($C$7,B81)</f>
        <v>5526</v>
      </c>
    </row>
    <row r="82" spans="1:8">
      <c r="B82" s="264">
        <f t="shared" si="1"/>
        <v>51</v>
      </c>
      <c r="C82" s="186">
        <f>[2]!srE2LETe($C$7,B82,0)</f>
        <v>13.09088</v>
      </c>
      <c r="D82" s="186">
        <f>[2]!srE2LETn($C$7,B82,0)</f>
        <v>5.0022560000000001E-3</v>
      </c>
      <c r="E82" s="186">
        <f>[2]!srE2LETt($C$7,B82,0)</f>
        <v>13.095882255999999</v>
      </c>
      <c r="F82" s="186">
        <f>[2]!srE2Rng($C$7,B82)</f>
        <v>1706080</v>
      </c>
      <c r="G82" s="186">
        <f>[2]!srE2StLng($C$7,B82)</f>
        <v>62395.68</v>
      </c>
      <c r="H82" s="186">
        <f>[2]!srE2StLtr($C$7,B82)</f>
        <v>5675.52</v>
      </c>
    </row>
    <row r="83" spans="1:8">
      <c r="B83" s="264">
        <f t="shared" si="1"/>
        <v>52</v>
      </c>
      <c r="C83" s="186">
        <f>[2]!srE2LETe($C$7,B83,0)</f>
        <v>12.90776</v>
      </c>
      <c r="D83" s="186">
        <f>[2]!srE2LETn($C$7,B83,0)</f>
        <v>4.9127119999999996E-3</v>
      </c>
      <c r="E83" s="186">
        <f>[2]!srE2LETt($C$7,B83,0)</f>
        <v>12.912672712000001</v>
      </c>
      <c r="F83" s="186">
        <f>[2]!srE2Rng($C$7,B83)</f>
        <v>1758160</v>
      </c>
      <c r="G83" s="186">
        <f>[2]!srE2StLng($C$7,B83)</f>
        <v>65127.360000000001</v>
      </c>
      <c r="H83" s="186">
        <f>[2]!srE2StLtr($C$7,B83)</f>
        <v>5825.04</v>
      </c>
    </row>
    <row r="84" spans="1:8">
      <c r="B84" s="264">
        <f t="shared" si="1"/>
        <v>53</v>
      </c>
      <c r="C84" s="186">
        <f>[2]!srE2LETe($C$7,B84,0)</f>
        <v>12.724639999999999</v>
      </c>
      <c r="D84" s="186">
        <f>[2]!srE2LETn($C$7,B84,0)</f>
        <v>4.8231680000000001E-3</v>
      </c>
      <c r="E84" s="186">
        <f>[2]!srE2LETt($C$7,B84,0)</f>
        <v>12.729463168000001</v>
      </c>
      <c r="F84" s="186">
        <f>[2]!srE2Rng($C$7,B84)</f>
        <v>1810240</v>
      </c>
      <c r="G84" s="186">
        <f>[2]!srE2StLng($C$7,B84)</f>
        <v>67859.040000000008</v>
      </c>
      <c r="H84" s="186">
        <f>[2]!srE2StLtr($C$7,B84)</f>
        <v>5974.56</v>
      </c>
    </row>
    <row r="85" spans="1:8">
      <c r="B85" s="264">
        <f t="shared" si="1"/>
        <v>54</v>
      </c>
      <c r="C85" s="186">
        <f>[2]!srE2LETe($C$7,B85,0)</f>
        <v>12.555199999999999</v>
      </c>
      <c r="D85" s="186">
        <f>[2]!srE2LETn($C$7,B85,0)</f>
        <v>4.7408959999999997E-3</v>
      </c>
      <c r="E85" s="186">
        <f>[2]!srE2LETt($C$7,B85,0)</f>
        <v>12.559940896000001</v>
      </c>
      <c r="F85" s="186">
        <f>[2]!srE2Rng($C$7,B85)</f>
        <v>1864480</v>
      </c>
      <c r="G85" s="186">
        <f>[2]!srE2StLng($C$7,B85)</f>
        <v>70510.8</v>
      </c>
      <c r="H85" s="186">
        <f>[2]!srE2StLtr($C$7,B85)</f>
        <v>6129.1200000000008</v>
      </c>
    </row>
    <row r="86" spans="1:8">
      <c r="B86" s="264">
        <f t="shared" si="1"/>
        <v>55</v>
      </c>
      <c r="C86" s="186">
        <f>[2]!srE2LETe($C$7,B86,0)</f>
        <v>12.404</v>
      </c>
      <c r="D86" s="186">
        <f>[2]!srE2LETn($C$7,B86,0)</f>
        <v>4.6683200000000001E-3</v>
      </c>
      <c r="E86" s="186">
        <f>[2]!srE2LETt($C$7,B86,0)</f>
        <v>12.40866832</v>
      </c>
      <c r="F86" s="186">
        <f>[2]!srE2Rng($C$7,B86)</f>
        <v>1921600</v>
      </c>
      <c r="G86" s="186">
        <f>[2]!srE2StLng($C$7,B86)</f>
        <v>73056</v>
      </c>
      <c r="H86" s="186">
        <f>[2]!srE2StLtr($C$7,B86)</f>
        <v>6290.4000000000005</v>
      </c>
    </row>
    <row r="87" spans="1:8">
      <c r="B87" s="264">
        <f t="shared" si="1"/>
        <v>56</v>
      </c>
      <c r="C87" s="186">
        <f>[2]!srE2LETe($C$7,B87,0)</f>
        <v>12.252800000000001</v>
      </c>
      <c r="D87" s="186">
        <f>[2]!srE2LETn($C$7,B87,0)</f>
        <v>4.5957439999999997E-3</v>
      </c>
      <c r="E87" s="186">
        <f>[2]!srE2LETt($C$7,B87,0)</f>
        <v>12.257395744</v>
      </c>
      <c r="F87" s="186">
        <f>[2]!srE2Rng($C$7,B87)</f>
        <v>1978720</v>
      </c>
      <c r="G87" s="186">
        <f>[2]!srE2StLng($C$7,B87)</f>
        <v>75601.2</v>
      </c>
      <c r="H87" s="186">
        <f>[2]!srE2StLtr($C$7,B87)</f>
        <v>6451.68</v>
      </c>
    </row>
    <row r="88" spans="1:8">
      <c r="B88" s="264">
        <f t="shared" si="1"/>
        <v>57</v>
      </c>
      <c r="C88" s="186">
        <f>[2]!srE2LETe($C$7,B88,0)</f>
        <v>12.101599999999999</v>
      </c>
      <c r="D88" s="186">
        <f>[2]!srE2LETn($C$7,B88,0)</f>
        <v>4.5231680000000002E-3</v>
      </c>
      <c r="E88" s="186">
        <f>[2]!srE2LETt($C$7,B88,0)</f>
        <v>12.106123168</v>
      </c>
      <c r="F88" s="186">
        <f>[2]!srE2Rng($C$7,B88)</f>
        <v>2035840</v>
      </c>
      <c r="G88" s="186">
        <f>[2]!srE2StLng($C$7,B88)</f>
        <v>78146.399999999994</v>
      </c>
      <c r="H88" s="186">
        <f>[2]!srE2StLtr($C$7,B88)</f>
        <v>6612.96</v>
      </c>
    </row>
    <row r="89" spans="1:8">
      <c r="B89" s="264">
        <f t="shared" si="1"/>
        <v>58</v>
      </c>
      <c r="C89" s="186">
        <f>[2]!srE2LETe($C$7,B89,0)</f>
        <v>11.9504</v>
      </c>
      <c r="D89" s="186">
        <f>[2]!srE2LETn($C$7,B89,0)</f>
        <v>4.4505919999999997E-3</v>
      </c>
      <c r="E89" s="186">
        <f>[2]!srE2LETt($C$7,B89,0)</f>
        <v>11.954850592</v>
      </c>
      <c r="F89" s="186">
        <f>[2]!srE2Rng($C$7,B89)</f>
        <v>2092960</v>
      </c>
      <c r="G89" s="186">
        <f>[2]!srE2StLng($C$7,B89)</f>
        <v>80691.599999999991</v>
      </c>
      <c r="H89" s="186">
        <f>[2]!srE2StLtr($C$7,B89)</f>
        <v>6774.24</v>
      </c>
    </row>
    <row r="90" spans="1:8">
      <c r="B90" s="264">
        <f t="shared" si="1"/>
        <v>59</v>
      </c>
      <c r="C90" s="186">
        <f>[2]!srE2LETe($C$7,B90,0)</f>
        <v>11.799200000000001</v>
      </c>
      <c r="D90" s="186">
        <f>[2]!srE2LETn($C$7,B90,0)</f>
        <v>4.3780160000000002E-3</v>
      </c>
      <c r="E90" s="186">
        <f>[2]!srE2LETt($C$7,B90,0)</f>
        <v>11.803578015999999</v>
      </c>
      <c r="F90" s="186">
        <f>[2]!srE2Rng($C$7,B90)</f>
        <v>2150080</v>
      </c>
      <c r="G90" s="186">
        <f>[2]!srE2StLng($C$7,B90)</f>
        <v>83236.800000000003</v>
      </c>
      <c r="H90" s="186">
        <f>[2]!srE2StLtr($C$7,B90)</f>
        <v>6935.5199999999995</v>
      </c>
    </row>
    <row r="93" spans="1:8">
      <c r="A93" s="144"/>
      <c r="B93" s="187">
        <f>[2]!srMinE(C7)</f>
        <v>1.071427380952381E-5</v>
      </c>
      <c r="C93" s="159" t="s">
        <v>229</v>
      </c>
      <c r="D93" s="138"/>
      <c r="E93" s="138"/>
      <c r="F93" s="138"/>
      <c r="G93" s="144"/>
      <c r="H93" s="144"/>
    </row>
    <row r="94" spans="1:8">
      <c r="A94" s="144"/>
      <c r="B94" s="188">
        <f>[2]!srMaxE(C7)</f>
        <v>1000</v>
      </c>
      <c r="C94" s="159" t="s">
        <v>230</v>
      </c>
      <c r="D94" s="138"/>
      <c r="E94" s="138"/>
      <c r="F94" s="138"/>
      <c r="G94" s="144"/>
      <c r="H94" s="144"/>
    </row>
    <row r="95" spans="1:8">
      <c r="A95" s="144"/>
      <c r="B95" s="172" t="s">
        <v>4</v>
      </c>
      <c r="C95" s="173" t="s">
        <v>221</v>
      </c>
      <c r="D95" s="174" t="s">
        <v>222</v>
      </c>
      <c r="E95" s="175" t="s">
        <v>223</v>
      </c>
      <c r="F95" s="176" t="s">
        <v>224</v>
      </c>
      <c r="G95" s="173" t="s">
        <v>225</v>
      </c>
      <c r="H95" s="175" t="s">
        <v>226</v>
      </c>
    </row>
    <row r="96" spans="1:8">
      <c r="A96" s="144"/>
      <c r="B96" s="177" t="s">
        <v>3</v>
      </c>
      <c r="C96" s="178" t="s">
        <v>227</v>
      </c>
      <c r="D96" s="179"/>
      <c r="E96" s="152"/>
      <c r="F96" s="180" t="s">
        <v>228</v>
      </c>
      <c r="G96" s="181" t="s">
        <v>228</v>
      </c>
      <c r="H96" s="182" t="s">
        <v>228</v>
      </c>
    </row>
    <row r="97" spans="1:8">
      <c r="A97" s="185">
        <f>B$93*1</f>
        <v>1.071427380952381E-5</v>
      </c>
      <c r="B97" s="265">
        <f>IF(A97&lt;=B$94,A97,NA())</f>
        <v>1.071427380952381E-5</v>
      </c>
      <c r="C97" s="186">
        <f>[2]!srE2LETe($C$7,B97,0)</f>
        <v>0.1341</v>
      </c>
      <c r="D97" s="186">
        <f>[2]!srE2LETn($C$7,B97,0)</f>
        <v>2.3140000000000001</v>
      </c>
      <c r="E97" s="186">
        <f>[2]!srE2LETt($C$7,B97,0)</f>
        <v>2.4481000000000002</v>
      </c>
      <c r="F97" s="186">
        <f>[2]!srE2Rng($C$7,B97)</f>
        <v>5.56</v>
      </c>
      <c r="G97" s="186">
        <f>[2]!srE2StLng($C$7,B97)</f>
        <v>1.72</v>
      </c>
      <c r="H97" s="186">
        <f>[2]!srE2StLtr($C$7,B97)</f>
        <v>1.24</v>
      </c>
    </row>
    <row r="98" spans="1:8">
      <c r="A98" s="185">
        <f>B$93*2</f>
        <v>2.1428547619047621E-5</v>
      </c>
      <c r="B98" s="265">
        <f t="shared" ref="B98:B161" si="2">IF(A98&lt;=B$94,A98,NA())</f>
        <v>2.1428547619047621E-5</v>
      </c>
      <c r="C98" s="186">
        <f>[2]!srE2LETe($C$7,B98,0)</f>
        <v>0.18969989200000001</v>
      </c>
      <c r="D98" s="186">
        <f>[2]!srE2LETn($C$7,B98,0)</f>
        <v>3.1149985600000005</v>
      </c>
      <c r="E98" s="186">
        <f>[2]!srE2LETt($C$7,B98,0)</f>
        <v>3.3046984520000007</v>
      </c>
      <c r="F98" s="186">
        <f>[2]!srE2Rng($C$7,B98)</f>
        <v>7.7599958000000004</v>
      </c>
      <c r="G98" s="186">
        <f>[2]!srE2StLng($C$7,B98)</f>
        <v>2.3099988000000002</v>
      </c>
      <c r="H98" s="186">
        <f>[2]!srE2StLtr($C$7,B98)</f>
        <v>1.689999</v>
      </c>
    </row>
    <row r="99" spans="1:8">
      <c r="A99" s="185">
        <f>B$93*3</f>
        <v>3.2142821428571435E-5</v>
      </c>
      <c r="B99" s="265">
        <f t="shared" si="2"/>
        <v>3.2142821428571435E-5</v>
      </c>
      <c r="C99" s="186">
        <f>[2]!srE2LETe($C$7,B99,0)</f>
        <v>0.23221986920000001</v>
      </c>
      <c r="D99" s="186">
        <f>[2]!srE2LETn($C$7,B99,0)</f>
        <v>3.6433984640000001</v>
      </c>
      <c r="E99" s="186">
        <f>[2]!srE2LETt($C$7,B99,0)</f>
        <v>3.8756183332000003</v>
      </c>
      <c r="F99" s="186">
        <f>[2]!srE2Rng($C$7,B99)</f>
        <v>9.5559943600000015</v>
      </c>
      <c r="G99" s="186">
        <f>[2]!srE2StLng($C$7,B99)</f>
        <v>2.7659985600000003</v>
      </c>
      <c r="H99" s="186">
        <f>[2]!srE2StLtr($C$7,B99)</f>
        <v>2.0419989200000002</v>
      </c>
    </row>
    <row r="100" spans="1:8">
      <c r="A100" s="185">
        <f>B$93*4</f>
        <v>4.2857095238095242E-5</v>
      </c>
      <c r="B100" s="265">
        <f t="shared" si="2"/>
        <v>4.2857095238095242E-5</v>
      </c>
      <c r="C100" s="186">
        <f>[2]!srE2LETe($C$7,B100,0)</f>
        <v>0.26821985120000003</v>
      </c>
      <c r="D100" s="186">
        <f>[2]!srE2LETn($C$7,B100,0)</f>
        <v>4.039798448</v>
      </c>
      <c r="E100" s="186">
        <f>[2]!srE2LETt($C$7,B100,0)</f>
        <v>4.3080182992000005</v>
      </c>
      <c r="F100" s="186">
        <f>[2]!srE2Rng($C$7,B100)</f>
        <v>11.137993280000002</v>
      </c>
      <c r="G100" s="186">
        <f>[2]!srE2StLng($C$7,B100)</f>
        <v>3.1499983999999999</v>
      </c>
      <c r="H100" s="186">
        <f>[2]!srE2StLtr($C$7,B100)</f>
        <v>2.3559985600000002</v>
      </c>
    </row>
    <row r="101" spans="1:8">
      <c r="A101" s="185">
        <f>B$93*5</f>
        <v>5.3571369047619049E-5</v>
      </c>
      <c r="B101" s="265">
        <f t="shared" si="2"/>
        <v>5.3571369047619049E-5</v>
      </c>
      <c r="C101" s="186">
        <f>[2]!srE2LETe($C$7,B101,0)</f>
        <v>0.29989982800000003</v>
      </c>
      <c r="D101" s="186">
        <f>[2]!srE2LETn($C$7,B101,0)</f>
        <v>4.3559983300000003</v>
      </c>
      <c r="E101" s="186">
        <f>[2]!srE2LETt($C$7,B101,0)</f>
        <v>4.6558981580000003</v>
      </c>
      <c r="F101" s="186">
        <f>[2]!srE2Rng($C$7,B101)</f>
        <v>12.589992000000001</v>
      </c>
      <c r="G101" s="186">
        <f>[2]!srE2StLng($C$7,B101)</f>
        <v>3.4899981000000002</v>
      </c>
      <c r="H101" s="186">
        <f>[2]!srE2StLtr($C$7,B101)</f>
        <v>2.6399984000000001</v>
      </c>
    </row>
    <row r="102" spans="1:8">
      <c r="A102" s="185">
        <f>B$93*6</f>
        <v>6.428564285714287E-5</v>
      </c>
      <c r="B102" s="265">
        <f t="shared" si="2"/>
        <v>6.428564285714287E-5</v>
      </c>
      <c r="C102" s="186">
        <f>[2]!srE2LETe($C$7,B102,0)</f>
        <v>0.32849981400000006</v>
      </c>
      <c r="D102" s="186">
        <f>[2]!srE2LETn($C$7,B102,0)</f>
        <v>4.6147983680000007</v>
      </c>
      <c r="E102" s="186">
        <f>[2]!srE2LETt($C$7,B102,0)</f>
        <v>4.9432981820000004</v>
      </c>
      <c r="F102" s="186">
        <f>[2]!srE2Rng($C$7,B102)</f>
        <v>13.941991120000001</v>
      </c>
      <c r="G102" s="186">
        <f>[2]!srE2StLng($C$7,B102)</f>
        <v>3.7959979600000002</v>
      </c>
      <c r="H102" s="186">
        <f>[2]!srE2StLtr($C$7,B102)</f>
        <v>2.9019983200000006</v>
      </c>
    </row>
    <row r="103" spans="1:8">
      <c r="A103" s="185">
        <f>B$93*7</f>
        <v>7.4999916666666677E-5</v>
      </c>
      <c r="B103" s="265">
        <f t="shared" si="2"/>
        <v>7.4999916666666677E-5</v>
      </c>
      <c r="C103" s="186">
        <f>[2]!srE2LETe($C$7,B103,0)</f>
        <v>0.35475980260000001</v>
      </c>
      <c r="D103" s="186">
        <f>[2]!srE2LETn($C$7,B103,0)</f>
        <v>4.8353984040000002</v>
      </c>
      <c r="E103" s="186">
        <f>[2]!srE2LETt($C$7,B103,0)</f>
        <v>5.1901582066000005</v>
      </c>
      <c r="F103" s="186">
        <f>[2]!srE2Rng($C$7,B103)</f>
        <v>15.239990200000001</v>
      </c>
      <c r="G103" s="186">
        <f>[2]!srE2StLng($C$7,B103)</f>
        <v>4.0959977600000004</v>
      </c>
      <c r="H103" s="186">
        <f>[2]!srE2StLtr($C$7,B103)</f>
        <v>3.1439980400000005</v>
      </c>
    </row>
    <row r="104" spans="1:8">
      <c r="A104" s="185">
        <f>B$93*8</f>
        <v>8.5714190476190484E-5</v>
      </c>
      <c r="B104" s="265">
        <f t="shared" si="2"/>
        <v>8.5714190476190484E-5</v>
      </c>
      <c r="C104" s="186">
        <f>[2]!srE2LETe($C$7,B104,0)</f>
        <v>0.37917979280000003</v>
      </c>
      <c r="D104" s="186">
        <f>[2]!srE2LETn($C$7,B104,0)</f>
        <v>5.0247984880000001</v>
      </c>
      <c r="E104" s="186">
        <f>[2]!srE2LETt($C$7,B104,0)</f>
        <v>5.4039782807999996</v>
      </c>
      <c r="F104" s="186">
        <f>[2]!srE2Rng($C$7,B104)</f>
        <v>16.477989280000003</v>
      </c>
      <c r="G104" s="186">
        <f>[2]!srE2StLng($C$7,B104)</f>
        <v>4.3679976800000002</v>
      </c>
      <c r="H104" s="186">
        <f>[2]!srE2StLtr($C$7,B104)</f>
        <v>3.3799980000000005</v>
      </c>
    </row>
    <row r="105" spans="1:8">
      <c r="A105" s="185">
        <f>B$93*9</f>
        <v>9.6428464285714291E-5</v>
      </c>
      <c r="B105" s="265">
        <f t="shared" si="2"/>
        <v>9.6428464285714291E-5</v>
      </c>
      <c r="C105" s="186">
        <f>[2]!srE2LETe($C$7,B105,0)</f>
        <v>0.40231978219999998</v>
      </c>
      <c r="D105" s="186">
        <f>[2]!srE2LETn($C$7,B105,0)</f>
        <v>5.1924985150000005</v>
      </c>
      <c r="E105" s="186">
        <f>[2]!srE2LETt($C$7,B105,0)</f>
        <v>5.5948182971999998</v>
      </c>
      <c r="F105" s="186">
        <f>[2]!srE2Rng($C$7,B105)</f>
        <v>17.678988390000001</v>
      </c>
      <c r="G105" s="186">
        <f>[2]!srE2StLng($C$7,B105)</f>
        <v>4.6279974799999994</v>
      </c>
      <c r="H105" s="186">
        <f>[2]!srE2StLtr($C$7,B105)</f>
        <v>3.6039978400000003</v>
      </c>
    </row>
    <row r="106" spans="1:8">
      <c r="A106" s="185">
        <f>A97*10</f>
        <v>1.071427380952381E-4</v>
      </c>
      <c r="B106" s="265">
        <f t="shared" si="2"/>
        <v>1.071427380952381E-4</v>
      </c>
      <c r="C106" s="186">
        <f>[2]!srE2LETe($C$7,B106,0)</f>
        <v>0.42409975799999999</v>
      </c>
      <c r="D106" s="186">
        <f>[2]!srE2LETn($C$7,B106,0)</f>
        <v>5.3409983500000004</v>
      </c>
      <c r="E106" s="186">
        <f>[2]!srE2LETt($C$7,B106,0)</f>
        <v>5.7650981080000001</v>
      </c>
      <c r="F106" s="186">
        <f>[2]!srE2Rng($C$7,B106)</f>
        <v>18.839987100000002</v>
      </c>
      <c r="G106" s="186">
        <f>[2]!srE2StLng($C$7,B106)</f>
        <v>4.8799972</v>
      </c>
      <c r="H106" s="186">
        <f>[2]!srE2StLtr($C$7,B106)</f>
        <v>3.8199976000000002</v>
      </c>
    </row>
    <row r="107" spans="1:8">
      <c r="A107" s="185">
        <f t="shared" ref="A107:A170" si="3">A98*10</f>
        <v>2.142854761904762E-4</v>
      </c>
      <c r="B107" s="265">
        <f t="shared" si="2"/>
        <v>2.142854761904762E-4</v>
      </c>
      <c r="C107" s="186">
        <f>[2]!srE2LETe($C$7,B107,0)</f>
        <v>0.59979966200000001</v>
      </c>
      <c r="D107" s="186">
        <f>[2]!srE2LETn($C$7,B107,0)</f>
        <v>6.23899866</v>
      </c>
      <c r="E107" s="186">
        <f>[2]!srE2LETt($C$7,B107,0)</f>
        <v>6.8387983219999997</v>
      </c>
      <c r="F107" s="186">
        <f>[2]!srE2Rng($C$7,B107)</f>
        <v>29.3099782</v>
      </c>
      <c r="G107" s="186">
        <f>[2]!srE2StLng($C$7,B107)</f>
        <v>7.0499955999999999</v>
      </c>
      <c r="H107" s="186">
        <f>[2]!srE2StLtr($C$7,B107)</f>
        <v>5.6899962000000004</v>
      </c>
    </row>
    <row r="108" spans="1:8">
      <c r="A108" s="185">
        <f t="shared" si="3"/>
        <v>3.2142821428571435E-4</v>
      </c>
      <c r="B108" s="265">
        <f t="shared" si="2"/>
        <v>3.2142821428571435E-4</v>
      </c>
      <c r="C108" s="186">
        <f>[2]!srE2LETe($C$7,B108,0)</f>
        <v>0.73449958599999998</v>
      </c>
      <c r="D108" s="186">
        <f>[2]!srE2LETn($C$7,B108,0)</f>
        <v>6.6611989320000005</v>
      </c>
      <c r="E108" s="186">
        <f>[2]!srE2LETt($C$7,B108,0)</f>
        <v>7.3956985180000006</v>
      </c>
      <c r="F108" s="186">
        <f>[2]!srE2Rng($C$7,B108)</f>
        <v>38.721969520000002</v>
      </c>
      <c r="G108" s="186">
        <f>[2]!srE2StLng($C$7,B108)</f>
        <v>8.9019941200000012</v>
      </c>
      <c r="H108" s="186">
        <f>[2]!srE2StLtr($C$7,B108)</f>
        <v>7.3039948400000005</v>
      </c>
    </row>
    <row r="109" spans="1:8">
      <c r="A109" s="185">
        <f t="shared" si="3"/>
        <v>4.2857095238095239E-4</v>
      </c>
      <c r="B109" s="265">
        <f t="shared" si="2"/>
        <v>4.2857095238095239E-4</v>
      </c>
      <c r="C109" s="186">
        <f>[2]!srE2LETe($C$7,B109,0)</f>
        <v>0.84811953120000005</v>
      </c>
      <c r="D109" s="186">
        <f>[2]!srE2LETn($C$7,B109,0)</f>
        <v>6.8913992640000004</v>
      </c>
      <c r="E109" s="186">
        <f>[2]!srE2LETt($C$7,B109,0)</f>
        <v>7.7395187952000004</v>
      </c>
      <c r="F109" s="186">
        <f>[2]!srE2Rng($C$7,B109)</f>
        <v>47.651961120000003</v>
      </c>
      <c r="G109" s="186">
        <f>[2]!srE2StLng($C$7,B109)</f>
        <v>10.599992799999999</v>
      </c>
      <c r="H109" s="186">
        <f>[2]!srE2StLtr($C$7,B109)</f>
        <v>8.7799935999999992</v>
      </c>
    </row>
    <row r="110" spans="1:8">
      <c r="A110" s="185">
        <f t="shared" si="3"/>
        <v>5.3571369047619049E-4</v>
      </c>
      <c r="B110" s="265">
        <f t="shared" si="2"/>
        <v>5.3571369047619049E-4</v>
      </c>
      <c r="C110" s="186">
        <f>[2]!srE2LETe($C$7,B110,0)</f>
        <v>0.94839945700000006</v>
      </c>
      <c r="D110" s="186">
        <f>[2]!srE2LETn($C$7,B110,0)</f>
        <v>7.0209993800000001</v>
      </c>
      <c r="E110" s="186">
        <f>[2]!srE2LETt($C$7,B110,0)</f>
        <v>7.969398837</v>
      </c>
      <c r="F110" s="186">
        <f>[2]!srE2Rng($C$7,B110)</f>
        <v>56.299952199999993</v>
      </c>
      <c r="G110" s="186">
        <f>[2]!srE2StLng($C$7,B110)</f>
        <v>12.2099911</v>
      </c>
      <c r="H110" s="186">
        <f>[2]!srE2StLtr($C$7,B110)</f>
        <v>10.1699924</v>
      </c>
    </row>
    <row r="111" spans="1:8">
      <c r="A111" s="185">
        <f t="shared" si="3"/>
        <v>6.428564285714287E-4</v>
      </c>
      <c r="B111" s="265">
        <f t="shared" si="2"/>
        <v>6.428564285714287E-4</v>
      </c>
      <c r="C111" s="186">
        <f>[2]!srE2LETe($C$7,B111,0)</f>
        <v>1.0383394204</v>
      </c>
      <c r="D111" s="186">
        <f>[2]!srE2LETn($C$7,B111,0)</f>
        <v>7.0881996520000001</v>
      </c>
      <c r="E111" s="186">
        <f>[2]!srE2LETt($C$7,B111,0)</f>
        <v>8.1265390724</v>
      </c>
      <c r="F111" s="186">
        <f>[2]!srE2Rng($C$7,B111)</f>
        <v>64.76394384000001</v>
      </c>
      <c r="G111" s="186">
        <f>[2]!srE2StLng($C$7,B111)</f>
        <v>13.749989800000002</v>
      </c>
      <c r="H111" s="186">
        <f>[2]!srE2StLtr($C$7,B111)</f>
        <v>11.511991120000001</v>
      </c>
    </row>
    <row r="112" spans="1:8">
      <c r="A112" s="185">
        <f t="shared" si="3"/>
        <v>7.499991666666668E-4</v>
      </c>
      <c r="B112" s="265">
        <f t="shared" si="2"/>
        <v>7.499991666666668E-4</v>
      </c>
      <c r="C112" s="186">
        <f>[2]!srE2LETe($C$7,B112,0)</f>
        <v>1.1219993699999999</v>
      </c>
      <c r="D112" s="186">
        <f>[2]!srE2LETn($C$7,B112,0)</f>
        <v>7.1173998740000002</v>
      </c>
      <c r="E112" s="186">
        <f>[2]!srE2LETt($C$7,B112,0)</f>
        <v>8.2393992440000012</v>
      </c>
      <c r="F112" s="186">
        <f>[2]!srE2Rng($C$7,B112)</f>
        <v>73.127935180000009</v>
      </c>
      <c r="G112" s="186">
        <f>[2]!srE2StLng($C$7,B112)</f>
        <v>15.251988520000001</v>
      </c>
      <c r="H112" s="186">
        <f>[2]!srE2StLtr($C$7,B112)</f>
        <v>12.805990060000001</v>
      </c>
    </row>
    <row r="113" spans="1:8">
      <c r="A113" s="185">
        <f t="shared" si="3"/>
        <v>8.5714190476190479E-4</v>
      </c>
      <c r="B113" s="265">
        <f t="shared" si="2"/>
        <v>8.5714190476190479E-4</v>
      </c>
      <c r="C113" s="186">
        <f>[2]!srE2LETe($C$7,B113,0)</f>
        <v>1.1991993519999999</v>
      </c>
      <c r="D113" s="186">
        <f>[2]!srE2LETn($C$7,B113,0)</f>
        <v>7.1204001040000007</v>
      </c>
      <c r="E113" s="186">
        <f>[2]!srE2LETt($C$7,B113,0)</f>
        <v>8.3195994560000006</v>
      </c>
      <c r="F113" s="186">
        <f>[2]!srE2Rng($C$7,B113)</f>
        <v>81.411926719999997</v>
      </c>
      <c r="G113" s="186">
        <f>[2]!srE2StLng($C$7,B113)</f>
        <v>16.701987119999998</v>
      </c>
      <c r="H113" s="186">
        <f>[2]!srE2StLtr($C$7,B113)</f>
        <v>14.065988959999999</v>
      </c>
    </row>
    <row r="114" spans="1:8">
      <c r="A114" s="185">
        <f t="shared" si="3"/>
        <v>9.6428464285714288E-4</v>
      </c>
      <c r="B114" s="265">
        <f t="shared" si="2"/>
        <v>9.6428464285714288E-4</v>
      </c>
      <c r="C114" s="186">
        <f>[2]!srE2LETe($C$7,B114,0)</f>
        <v>1.271699307</v>
      </c>
      <c r="D114" s="186">
        <f>[2]!srE2LETn($C$7,B114,0)</f>
        <v>7.1070002700000003</v>
      </c>
      <c r="E114" s="186">
        <f>[2]!srE2LETt($C$7,B114,0)</f>
        <v>8.3786995770000008</v>
      </c>
      <c r="F114" s="186">
        <f>[2]!srE2Rng($C$7,B114)</f>
        <v>89.650918009999998</v>
      </c>
      <c r="G114" s="186">
        <f>[2]!srE2StLng($C$7,B114)</f>
        <v>18.146985869999998</v>
      </c>
      <c r="H114" s="186">
        <f>[2]!srE2StLtr($C$7,B114)</f>
        <v>15.30498785</v>
      </c>
    </row>
    <row r="115" spans="1:8">
      <c r="A115" s="185">
        <f>A106*10</f>
        <v>1.071427380952381E-3</v>
      </c>
      <c r="B115" s="265">
        <f t="shared" si="2"/>
        <v>1.071427380952381E-3</v>
      </c>
      <c r="C115" s="186">
        <f>[2]!srE2LETe($C$7,B115,0)</f>
        <v>1.34099923</v>
      </c>
      <c r="D115" s="186">
        <f>[2]!srE2LETn($C$7,B115,0)</f>
        <v>7.0800003</v>
      </c>
      <c r="E115" s="186">
        <f>[2]!srE2LETt($C$7,B115,0)</f>
        <v>8.4209995299999996</v>
      </c>
      <c r="F115" s="186">
        <f>[2]!srE2Rng($C$7,B115)</f>
        <v>97.849908899999988</v>
      </c>
      <c r="G115" s="186">
        <f>[2]!srE2StLng($C$7,B115)</f>
        <v>19.5599843</v>
      </c>
      <c r="H115" s="186">
        <f>[2]!srE2StLtr($C$7,B115)</f>
        <v>16.519986499999998</v>
      </c>
    </row>
    <row r="116" spans="1:8">
      <c r="A116" s="185">
        <f t="shared" si="3"/>
        <v>2.142854761904762E-3</v>
      </c>
      <c r="B116" s="265">
        <f t="shared" si="2"/>
        <v>2.142854761904762E-3</v>
      </c>
      <c r="C116" s="186">
        <f>[2]!srE2LETe($C$7,B116,0)</f>
        <v>1.63700314</v>
      </c>
      <c r="D116" s="186">
        <f>[2]!srE2LETn($C$7,B116,0)</f>
        <v>6.5550012999999998</v>
      </c>
      <c r="E116" s="186">
        <f>[2]!srE2LETt($C$7,B116,0)</f>
        <v>8.1920044399999998</v>
      </c>
      <c r="F116" s="186">
        <f>[2]!srE2Rng($C$7,B116)</f>
        <v>180.08981299999999</v>
      </c>
      <c r="G116" s="186">
        <f>[2]!srE2StLng($C$7,B116)</f>
        <v>32.799970999999999</v>
      </c>
      <c r="H116" s="186">
        <f>[2]!srE2StLtr($C$7,B116)</f>
        <v>27.999974999999999</v>
      </c>
    </row>
    <row r="117" spans="1:8">
      <c r="A117" s="185">
        <f t="shared" si="3"/>
        <v>3.2142821428571434E-3</v>
      </c>
      <c r="B117" s="265">
        <f t="shared" si="2"/>
        <v>3.2142821428571434E-3</v>
      </c>
      <c r="C117" s="186">
        <f>[2]!srE2LETe($C$7,B117,0)</f>
        <v>1.4229992800000002</v>
      </c>
      <c r="D117" s="186">
        <f>[2]!srE2LETn($C$7,B117,0)</f>
        <v>5.9974017640000001</v>
      </c>
      <c r="E117" s="186">
        <f>[2]!srE2LETt($C$7,B117,0)</f>
        <v>7.4204010440000001</v>
      </c>
      <c r="F117" s="186">
        <f>[2]!srE2Rng($C$7,B117)</f>
        <v>271.38168512000004</v>
      </c>
      <c r="G117" s="186">
        <f>[2]!srE2StLng($C$7,B117)</f>
        <v>46.849952600000009</v>
      </c>
      <c r="H117" s="186">
        <f>[2]!srE2StLtr($C$7,B117)</f>
        <v>39.713960040000011</v>
      </c>
    </row>
    <row r="118" spans="1:8">
      <c r="A118" s="185">
        <f t="shared" si="3"/>
        <v>4.2857095238095239E-3</v>
      </c>
      <c r="B118" s="265">
        <f t="shared" si="2"/>
        <v>4.2857095238095239E-3</v>
      </c>
      <c r="C118" s="186">
        <f>[2]!srE2LETe($C$7,B118,0)</f>
        <v>1.753198432</v>
      </c>
      <c r="D118" s="186">
        <f>[2]!srE2LETn($C$7,B118,0)</f>
        <v>5.5182019520000001</v>
      </c>
      <c r="E118" s="186">
        <f>[2]!srE2LETt($C$7,B118,0)</f>
        <v>7.2714003840000005</v>
      </c>
      <c r="F118" s="186">
        <f>[2]!srE2Rng($C$7,B118)</f>
        <v>367.53556816000003</v>
      </c>
      <c r="G118" s="186">
        <f>[2]!srE2StLng($C$7,B118)</f>
        <v>60.729939999999999</v>
      </c>
      <c r="H118" s="186">
        <f>[2]!srE2StLtr($C$7,B118)</f>
        <v>51.879945600000006</v>
      </c>
    </row>
    <row r="119" spans="1:8">
      <c r="A119" s="185">
        <f t="shared" si="3"/>
        <v>5.3571369047619045E-3</v>
      </c>
      <c r="B119" s="265">
        <f t="shared" si="2"/>
        <v>5.3571369047619045E-3</v>
      </c>
      <c r="C119" s="186">
        <f>[2]!srE2LETe($C$7,B119,0)</f>
        <v>2.0839982300000002</v>
      </c>
      <c r="D119" s="186">
        <f>[2]!srE2LETn($C$7,B119,0)</f>
        <v>5.1140021600000001</v>
      </c>
      <c r="E119" s="186">
        <f>[2]!srE2LETt($C$7,B119,0)</f>
        <v>7.1980003900000007</v>
      </c>
      <c r="F119" s="186">
        <f>[2]!srE2Rng($C$7,B119)</f>
        <v>465.32945499999994</v>
      </c>
      <c r="G119" s="186">
        <f>[2]!srE2StLng($C$7,B119)</f>
        <v>74.089925899999997</v>
      </c>
      <c r="H119" s="186">
        <f>[2]!srE2StLtr($C$7,B119)</f>
        <v>64.119932000000006</v>
      </c>
    </row>
    <row r="120" spans="1:8">
      <c r="A120" s="185">
        <f t="shared" si="3"/>
        <v>6.4285642857142868E-3</v>
      </c>
      <c r="B120" s="265">
        <f t="shared" si="2"/>
        <v>6.4285642857142868E-3</v>
      </c>
      <c r="C120" s="186">
        <f>[2]!srE2LETe($C$7,B120,0)</f>
        <v>2.3557983080000002</v>
      </c>
      <c r="D120" s="186">
        <f>[2]!srE2LETn($C$7,B120,0)</f>
        <v>4.7740021600000002</v>
      </c>
      <c r="E120" s="186">
        <f>[2]!srE2LETt($C$7,B120,0)</f>
        <v>7.129800468</v>
      </c>
      <c r="F120" s="186">
        <f>[2]!srE2Rng($C$7,B120)</f>
        <v>564.44533676000015</v>
      </c>
      <c r="G120" s="186">
        <f>[2]!srE2StLng($C$7,B120)</f>
        <v>86.871916120000009</v>
      </c>
      <c r="H120" s="186">
        <f>[2]!srE2StLtr($C$7,B120)</f>
        <v>76.299919000000017</v>
      </c>
    </row>
    <row r="121" spans="1:8">
      <c r="A121" s="185">
        <f t="shared" si="3"/>
        <v>7.4999916666666682E-3</v>
      </c>
      <c r="B121" s="265">
        <f t="shared" si="2"/>
        <v>7.4999916666666682E-3</v>
      </c>
      <c r="C121" s="186">
        <f>[2]!srE2LETe($C$7,B121,0)</f>
        <v>2.5805983760000002</v>
      </c>
      <c r="D121" s="186">
        <f>[2]!srE2LETn($C$7,B121,0)</f>
        <v>4.481802128</v>
      </c>
      <c r="E121" s="186">
        <f>[2]!srE2LETt($C$7,B121,0)</f>
        <v>7.0624005040000002</v>
      </c>
      <c r="F121" s="186">
        <f>[2]!srE2Rng($C$7,B121)</f>
        <v>664.76121572000011</v>
      </c>
      <c r="G121" s="186">
        <f>[2]!srE2StLng($C$7,B121)</f>
        <v>99.085906760000015</v>
      </c>
      <c r="H121" s="186">
        <f>[2]!srE2StLtr($C$7,B121)</f>
        <v>88.367906480000016</v>
      </c>
    </row>
    <row r="122" spans="1:8">
      <c r="A122" s="185">
        <f t="shared" si="3"/>
        <v>8.5714190476190479E-3</v>
      </c>
      <c r="B122" s="265">
        <f t="shared" si="2"/>
        <v>8.5714190476190479E-3</v>
      </c>
      <c r="C122" s="186">
        <f>[2]!srE2LETe($C$7,B122,0)</f>
        <v>2.7729984399999998</v>
      </c>
      <c r="D122" s="186">
        <f>[2]!srE2LETn($C$7,B122,0)</f>
        <v>4.2296020160000003</v>
      </c>
      <c r="E122" s="186">
        <f>[2]!srE2LETt($C$7,B122,0)</f>
        <v>7.0026004559999997</v>
      </c>
      <c r="F122" s="186">
        <f>[2]!srE2Rng($C$7,B122)</f>
        <v>766.29509015999997</v>
      </c>
      <c r="G122" s="186">
        <f>[2]!srE2StLng($C$7,B122)</f>
        <v>110.89389504</v>
      </c>
      <c r="H122" s="186">
        <f>[2]!srE2StLtr($C$7,B122)</f>
        <v>100.31789448000001</v>
      </c>
    </row>
    <row r="123" spans="1:8">
      <c r="A123" s="185">
        <f t="shared" si="3"/>
        <v>9.6428464285714284E-3</v>
      </c>
      <c r="B123" s="265">
        <f t="shared" si="2"/>
        <v>9.6428464285714284E-3</v>
      </c>
      <c r="C123" s="186">
        <f>[2]!srE2LETe($C$7,B123,0)</f>
        <v>2.9468983889999998</v>
      </c>
      <c r="D123" s="186">
        <f>[2]!srE2LETn($C$7,B123,0)</f>
        <v>4.0061019709999997</v>
      </c>
      <c r="E123" s="186">
        <f>[2]!srE2LETt($C$7,B123,0)</f>
        <v>6.953000359999999</v>
      </c>
      <c r="F123" s="186">
        <f>[2]!srE2Rng($C$7,B123)</f>
        <v>868.75396724999985</v>
      </c>
      <c r="G123" s="186">
        <f>[2]!srE2StLng($C$7,B123)</f>
        <v>122.64488704999999</v>
      </c>
      <c r="H123" s="186">
        <f>[2]!srE2StLtr($C$7,B123)</f>
        <v>112.17188281999999</v>
      </c>
    </row>
    <row r="124" spans="1:8">
      <c r="A124" s="185">
        <f>A115*10</f>
        <v>1.0714273809523809E-2</v>
      </c>
      <c r="B124" s="265">
        <f t="shared" si="2"/>
        <v>1.0714273809523809E-2</v>
      </c>
      <c r="C124" s="186">
        <f>[2]!srE2LETe($C$7,B124,0)</f>
        <v>3.1079982099999999</v>
      </c>
      <c r="D124" s="186">
        <f>[2]!srE2LETn($C$7,B124,0)</f>
        <v>3.8090021900000002</v>
      </c>
      <c r="E124" s="186">
        <f>[2]!srE2LETt($C$7,B124,0)</f>
        <v>6.9170004</v>
      </c>
      <c r="F124" s="186">
        <f>[2]!srE2Rng($C$7,B124)</f>
        <v>972.02885249999986</v>
      </c>
      <c r="G124" s="186">
        <f>[2]!srE2StLng($C$7,B124)</f>
        <v>133.9398745</v>
      </c>
      <c r="H124" s="186">
        <f>[2]!srE2StLtr($C$7,B124)</f>
        <v>123.8898698</v>
      </c>
    </row>
    <row r="125" spans="1:8">
      <c r="A125" s="185">
        <f t="shared" si="3"/>
        <v>2.1428547619047618E-2</v>
      </c>
      <c r="B125" s="265">
        <f t="shared" si="2"/>
        <v>2.1428547619047618E-2</v>
      </c>
      <c r="C125" s="186">
        <f>[2]!srE2LETe($C$7,B125,0)</f>
        <v>4.5639969000000002</v>
      </c>
      <c r="D125" s="186">
        <f>[2]!srE2LETn($C$7,B125,0)</f>
        <v>2.6250017800000003</v>
      </c>
      <c r="E125" s="186">
        <f>[2]!srE2LETt($C$7,B125,0)</f>
        <v>7.1889986800000001</v>
      </c>
      <c r="F125" s="186">
        <f>[2]!srE2Rng($C$7,B125)</f>
        <v>2009.9975999999997</v>
      </c>
      <c r="G125" s="186">
        <f>[2]!srE2StLng($C$7,B125)</f>
        <v>226.11982760000001</v>
      </c>
      <c r="H125" s="186">
        <f>[2]!srE2StLtr($C$7,B125)</f>
        <v>231.3497812</v>
      </c>
    </row>
    <row r="126" spans="1:8">
      <c r="A126" s="185">
        <f t="shared" si="3"/>
        <v>3.214282142857143E-2</v>
      </c>
      <c r="B126" s="265">
        <f t="shared" si="2"/>
        <v>3.214282142857143E-2</v>
      </c>
      <c r="C126" s="186">
        <f>[2]!srE2LETe($C$7,B126,0)</f>
        <v>5.872795848</v>
      </c>
      <c r="D126" s="186">
        <f>[2]!srE2LETn($C$7,B126,0)</f>
        <v>2.0520015000000003</v>
      </c>
      <c r="E126" s="186">
        <f>[2]!srE2LETt($C$7,B126,0)</f>
        <v>7.9247973480000002</v>
      </c>
      <c r="F126" s="186">
        <f>[2]!srE2Rng($C$7,B126)</f>
        <v>2967.9968800000001</v>
      </c>
      <c r="G126" s="186">
        <f>[2]!srE2StLng($C$7,B126)</f>
        <v>294.61380284000001</v>
      </c>
      <c r="H126" s="186">
        <f>[2]!srE2StLtr($C$7,B126)</f>
        <v>318.40173612000001</v>
      </c>
    </row>
    <row r="127" spans="1:8">
      <c r="A127" s="185">
        <f t="shared" si="3"/>
        <v>4.2857095238095236E-2</v>
      </c>
      <c r="B127" s="265">
        <f t="shared" si="2"/>
        <v>4.2857095238095236E-2</v>
      </c>
      <c r="C127" s="186">
        <f>[2]!srE2LETe($C$7,B127,0)</f>
        <v>7.0585948959999998</v>
      </c>
      <c r="D127" s="186">
        <f>[2]!srE2LETn($C$7,B127,0)</f>
        <v>1.7032012320000001</v>
      </c>
      <c r="E127" s="186">
        <f>[2]!srE2LETt($C$7,B127,0)</f>
        <v>8.7617961279999985</v>
      </c>
      <c r="F127" s="186">
        <f>[2]!srE2Rng($C$7,B127)</f>
        <v>3851.9963199999997</v>
      </c>
      <c r="G127" s="186">
        <f>[2]!srE2StLng($C$7,B127)</f>
        <v>343.83781407999999</v>
      </c>
      <c r="H127" s="186">
        <f>[2]!srE2StLtr($C$7,B127)</f>
        <v>388.10372383999999</v>
      </c>
    </row>
    <row r="128" spans="1:8">
      <c r="A128" s="185">
        <f t="shared" si="3"/>
        <v>5.3571369047619041E-2</v>
      </c>
      <c r="B128" s="265">
        <f t="shared" si="2"/>
        <v>5.3571369047619041E-2</v>
      </c>
      <c r="C128" s="186">
        <f>[2]!srE2LETe($C$7,B128,0)</f>
        <v>8.1939937199999999</v>
      </c>
      <c r="D128" s="186">
        <f>[2]!srE2LETn($C$7,B128,0)</f>
        <v>1.4650012200000002</v>
      </c>
      <c r="E128" s="186">
        <f>[2]!srE2LETt($C$7,B128,0)</f>
        <v>9.6589949400000013</v>
      </c>
      <c r="F128" s="186">
        <f>[2]!srE2Rng($C$7,B128)</f>
        <v>4649.9956000000002</v>
      </c>
      <c r="G128" s="186">
        <f>[2]!srE2StLng($C$7,B128)</f>
        <v>383.08978449999995</v>
      </c>
      <c r="H128" s="186">
        <f>[2]!srE2StLtr($C$7,B128)</f>
        <v>444.68970049999996</v>
      </c>
    </row>
    <row r="129" spans="1:8">
      <c r="A129" s="185">
        <f t="shared" si="3"/>
        <v>6.4285642857142861E-2</v>
      </c>
      <c r="B129" s="265">
        <f t="shared" si="2"/>
        <v>6.4285642857142861E-2</v>
      </c>
      <c r="C129" s="186">
        <f>[2]!srE2LETe($C$7,B129,0)</f>
        <v>9.3309923799999996</v>
      </c>
      <c r="D129" s="186">
        <f>[2]!srE2LETn($C$7,B129,0)</f>
        <v>1.2934010439999999</v>
      </c>
      <c r="E129" s="186">
        <f>[2]!srE2LETt($C$7,B129,0)</f>
        <v>10.624393424000001</v>
      </c>
      <c r="F129" s="186">
        <f>[2]!srE2Rng($C$7,B129)</f>
        <v>5371.99532</v>
      </c>
      <c r="G129" s="186">
        <f>[2]!srE2StLng($C$7,B129)</f>
        <v>414.50180692000004</v>
      </c>
      <c r="H129" s="186">
        <f>[2]!srE2StLtr($C$7,B129)</f>
        <v>490.81571056000001</v>
      </c>
    </row>
    <row r="130" spans="1:8">
      <c r="A130" s="185">
        <f t="shared" si="3"/>
        <v>7.499991666666668E-2</v>
      </c>
      <c r="B130" s="265">
        <f t="shared" si="2"/>
        <v>7.499991666666668E-2</v>
      </c>
      <c r="C130" s="186">
        <f>[2]!srE2LETe($C$7,B130,0)</f>
        <v>10.495990760000002</v>
      </c>
      <c r="D130" s="186">
        <f>[2]!srE2LETn($C$7,B130,0)</f>
        <v>1.1604009239999997</v>
      </c>
      <c r="E130" s="186">
        <f>[2]!srE2LETt($C$7,B130,0)</f>
        <v>11.656391684000001</v>
      </c>
      <c r="F130" s="186">
        <f>[2]!srE2Rng($C$7,B130)</f>
        <v>6035.9949600000009</v>
      </c>
      <c r="G130" s="186">
        <f>[2]!srE2StLng($C$7,B130)</f>
        <v>439.1898271</v>
      </c>
      <c r="H130" s="186">
        <f>[2]!srE2StLtr($C$7,B130)</f>
        <v>529.22372433999999</v>
      </c>
    </row>
    <row r="131" spans="1:8">
      <c r="A131" s="185">
        <f t="shared" si="3"/>
        <v>8.5714190476190472E-2</v>
      </c>
      <c r="B131" s="265">
        <f t="shared" si="2"/>
        <v>8.5714190476190472E-2</v>
      </c>
      <c r="C131" s="186">
        <f>[2]!srE2LETe($C$7,B131,0)</f>
        <v>11.69398904</v>
      </c>
      <c r="D131" s="186">
        <f>[2]!srE2LETn($C$7,B131,0)</f>
        <v>1.0561807928</v>
      </c>
      <c r="E131" s="186">
        <f>[2]!srE2LETt($C$7,B131,0)</f>
        <v>12.750169832800001</v>
      </c>
      <c r="F131" s="186">
        <f>[2]!srE2Rng($C$7,B131)</f>
        <v>6635.99496</v>
      </c>
      <c r="G131" s="186">
        <f>[2]!srE2StLng($C$7,B131)</f>
        <v>459.50182152000002</v>
      </c>
      <c r="H131" s="186">
        <f>[2]!srE2StLtr($C$7,B131)</f>
        <v>561.15575176000004</v>
      </c>
    </row>
    <row r="132" spans="1:8">
      <c r="A132" s="185">
        <f t="shared" si="3"/>
        <v>9.6428464285714277E-2</v>
      </c>
      <c r="B132" s="265">
        <f t="shared" si="2"/>
        <v>9.6428464285714277E-2</v>
      </c>
      <c r="C132" s="186">
        <f>[2]!srE2LETe($C$7,B132,0)</f>
        <v>12.931987219999998</v>
      </c>
      <c r="D132" s="186">
        <f>[2]!srE2LETn($C$7,B132,0)</f>
        <v>0.96885072449999998</v>
      </c>
      <c r="E132" s="186">
        <f>[2]!srE2LETt($C$7,B132,0)</f>
        <v>13.900837944499999</v>
      </c>
      <c r="F132" s="186">
        <f>[2]!srE2Rng($C$7,B132)</f>
        <v>7196.9948699999995</v>
      </c>
      <c r="G132" s="186">
        <f>[2]!srE2StLng($C$7,B132)</f>
        <v>479.12384034000002</v>
      </c>
      <c r="H132" s="186">
        <f>[2]!srE2StLtr($C$7,B132)</f>
        <v>588.57076681000001</v>
      </c>
    </row>
    <row r="133" spans="1:8">
      <c r="A133" s="185">
        <f>A124*10</f>
        <v>0.10714273809523808</v>
      </c>
      <c r="B133" s="265">
        <f t="shared" si="2"/>
        <v>0.10714273809523808</v>
      </c>
      <c r="C133" s="186">
        <f>[2]!srE2LETe($C$7,B133,0)</f>
        <v>14.2099858</v>
      </c>
      <c r="D133" s="186">
        <f>[2]!srE2LETn($C$7,B133,0)</f>
        <v>0.89640080499999997</v>
      </c>
      <c r="E133" s="186">
        <f>[2]!srE2LETt($C$7,B133,0)</f>
        <v>15.106386604999999</v>
      </c>
      <c r="F133" s="186">
        <f>[2]!srE2Rng($C$7,B133)</f>
        <v>7709.9942999999994</v>
      </c>
      <c r="G133" s="186">
        <f>[2]!srE2StLng($C$7,B133)</f>
        <v>495.08982259999999</v>
      </c>
      <c r="H133" s="186">
        <f>[2]!srE2StLtr($C$7,B133)</f>
        <v>611.88974089999999</v>
      </c>
    </row>
    <row r="134" spans="1:8">
      <c r="A134" s="185">
        <f t="shared" si="3"/>
        <v>0.21428547619047617</v>
      </c>
      <c r="B134" s="265">
        <f t="shared" si="2"/>
        <v>0.21428547619047617</v>
      </c>
      <c r="C134" s="186">
        <f>[2]!srE2LETe($C$7,B134,0)</f>
        <v>26.729975</v>
      </c>
      <c r="D134" s="186">
        <f>[2]!srE2LETn($C$7,B134,0)</f>
        <v>0.53120048000000009</v>
      </c>
      <c r="E134" s="186">
        <f>[2]!srE2LETt($C$7,B134,0)</f>
        <v>27.261175479999999</v>
      </c>
      <c r="F134" s="186">
        <f>[2]!srE2Rng($C$7,B134)</f>
        <v>11289.9938</v>
      </c>
      <c r="G134" s="186">
        <f>[2]!srE2StLng($C$7,B134)</f>
        <v>567.14991459999999</v>
      </c>
      <c r="H134" s="186">
        <f>[2]!srE2StLtr($C$7,B134)</f>
        <v>730.8798458</v>
      </c>
    </row>
    <row r="135" spans="1:8">
      <c r="A135" s="185">
        <f t="shared" si="3"/>
        <v>0.32142821428571433</v>
      </c>
      <c r="B135" s="265">
        <f t="shared" si="2"/>
        <v>0.32142821428571433</v>
      </c>
      <c r="C135" s="186">
        <f>[2]!srE2LETe($C$7,B135,0)</f>
        <v>35.395976960000006</v>
      </c>
      <c r="D135" s="186">
        <f>[2]!srE2LETn($C$7,B135,0)</f>
        <v>0.38708035879999997</v>
      </c>
      <c r="E135" s="186">
        <f>[2]!srE2LETt($C$7,B135,0)</f>
        <v>35.783057318800005</v>
      </c>
      <c r="F135" s="186">
        <f>[2]!srE2Rng($C$7,B135)</f>
        <v>13641.992920000001</v>
      </c>
      <c r="G135" s="186">
        <f>[2]!srE2StLng($C$7,B135)</f>
        <v>606.39589655999998</v>
      </c>
      <c r="H135" s="186">
        <f>[2]!srE2StLtr($C$7,B135)</f>
        <v>777.59588156000007</v>
      </c>
    </row>
    <row r="136" spans="1:8">
      <c r="A136" s="185">
        <f t="shared" si="3"/>
        <v>0.42857095238095233</v>
      </c>
      <c r="B136" s="265">
        <f t="shared" si="2"/>
        <v>0.42857095238095233</v>
      </c>
      <c r="C136" s="186">
        <f>[2]!srE2LETe($C$7,B136,0)</f>
        <v>40.527982879999996</v>
      </c>
      <c r="D136" s="186">
        <f>[2]!srE2LETn($C$7,B136,0)</f>
        <v>0.30760027200000006</v>
      </c>
      <c r="E136" s="186">
        <f>[2]!srE2LETt($C$7,B136,0)</f>
        <v>40.835583151999998</v>
      </c>
      <c r="F136" s="186">
        <f>[2]!srE2Rng($C$7,B136)</f>
        <v>15579.991999999998</v>
      </c>
      <c r="G136" s="186">
        <f>[2]!srE2StLng($C$7,B136)</f>
        <v>631.03990799999997</v>
      </c>
      <c r="H136" s="186">
        <f>[2]!srE2StLtr($C$7,B136)</f>
        <v>805.05190112000003</v>
      </c>
    </row>
    <row r="137" spans="1:8">
      <c r="A137" s="185">
        <f t="shared" si="3"/>
        <v>0.53571369047619044</v>
      </c>
      <c r="B137" s="265">
        <f t="shared" si="2"/>
        <v>0.53571369047619044</v>
      </c>
      <c r="C137" s="186">
        <f>[2]!srE2LETe($C$7,B137,0)</f>
        <v>43.649984599999996</v>
      </c>
      <c r="D137" s="186">
        <f>[2]!srE2LETn($C$7,B137,0)</f>
        <v>0.25670025600000002</v>
      </c>
      <c r="E137" s="186">
        <f>[2]!srE2LETt($C$7,B137,0)</f>
        <v>43.906684855999998</v>
      </c>
      <c r="F137" s="186">
        <f>[2]!srE2Rng($C$7,B137)</f>
        <v>17339.990399999999</v>
      </c>
      <c r="G137" s="186">
        <f>[2]!srE2StLng($C$7,B137)</f>
        <v>656.71983120000004</v>
      </c>
      <c r="H137" s="186">
        <f>[2]!srE2StLtr($C$7,B137)</f>
        <v>824.529899</v>
      </c>
    </row>
    <row r="138" spans="1:8">
      <c r="A138" s="185">
        <f t="shared" si="3"/>
        <v>0.64285642857142866</v>
      </c>
      <c r="B138" s="265">
        <f t="shared" si="2"/>
        <v>0.64285642857142866</v>
      </c>
      <c r="C138" s="186">
        <f>[2]!srE2LETe($C$7,B138,0)</f>
        <v>45.583988840000004</v>
      </c>
      <c r="D138" s="186">
        <f>[2]!srE2LETn($C$7,B138,0)</f>
        <v>0.22144021239999997</v>
      </c>
      <c r="E138" s="186">
        <f>[2]!srE2LETt($C$7,B138,0)</f>
        <v>45.805429052400001</v>
      </c>
      <c r="F138" s="186">
        <f>[2]!srE2Rng($C$7,B138)</f>
        <v>18997.989080000003</v>
      </c>
      <c r="G138" s="186">
        <f>[2]!srE2StLng($C$7,B138)</f>
        <v>683.3578300800001</v>
      </c>
      <c r="H138" s="186">
        <f>[2]!srE2StLtr($C$7,B138)</f>
        <v>839.67190532000006</v>
      </c>
    </row>
    <row r="139" spans="1:8">
      <c r="A139" s="185">
        <f t="shared" si="3"/>
        <v>0.74999916666666677</v>
      </c>
      <c r="B139" s="265">
        <f t="shared" si="2"/>
        <v>0.74999916666666677</v>
      </c>
      <c r="C139" s="186">
        <f>[2]!srE2LETe($C$7,B139,0)</f>
        <v>46.825992159999998</v>
      </c>
      <c r="D139" s="186">
        <f>[2]!srE2LETn($C$7,B139,0)</f>
        <v>0.19516018059999998</v>
      </c>
      <c r="E139" s="186">
        <f>[2]!srE2LETt($C$7,B139,0)</f>
        <v>47.021152340599997</v>
      </c>
      <c r="F139" s="186">
        <f>[2]!srE2Rng($C$7,B139)</f>
        <v>20607.987680000002</v>
      </c>
      <c r="G139" s="186">
        <f>[2]!srE2StLng($C$7,B139)</f>
        <v>707.04582346000007</v>
      </c>
      <c r="H139" s="186">
        <f>[2]!srE2StLtr($C$7,B139)</f>
        <v>852.34790787999998</v>
      </c>
    </row>
    <row r="140" spans="1:8">
      <c r="A140" s="185">
        <f t="shared" si="3"/>
        <v>0.85714190476190466</v>
      </c>
      <c r="B140" s="265">
        <f t="shared" si="2"/>
        <v>0.85714190476190466</v>
      </c>
      <c r="C140" s="186">
        <f>[2]!srE2LETe($C$7,B140,0)</f>
        <v>47.591995519999998</v>
      </c>
      <c r="D140" s="186">
        <f>[2]!srE2LETn($C$7,B140,0)</f>
        <v>0.17496014960000003</v>
      </c>
      <c r="E140" s="186">
        <f>[2]!srE2LETt($C$7,B140,0)</f>
        <v>47.766955669599994</v>
      </c>
      <c r="F140" s="186">
        <f>[2]!srE2Rng($C$7,B140)</f>
        <v>22175.986159999997</v>
      </c>
      <c r="G140" s="186">
        <f>[2]!srE2StLng($C$7,B140)</f>
        <v>732.69165871999996</v>
      </c>
      <c r="H140" s="186">
        <f>[2]!srE2StLtr($C$7,B140)</f>
        <v>863.30391104</v>
      </c>
    </row>
    <row r="141" spans="1:8">
      <c r="A141" s="185">
        <f t="shared" si="3"/>
        <v>0.96428464285714277</v>
      </c>
      <c r="B141" s="265">
        <f t="shared" si="2"/>
        <v>0.96428464285714277</v>
      </c>
      <c r="C141" s="186">
        <f>[2]!srE2LETe($C$7,B141,0)</f>
        <v>48.066997569999998</v>
      </c>
      <c r="D141" s="186">
        <f>[2]!srE2LETn($C$7,B141,0)</f>
        <v>0.15850013500000001</v>
      </c>
      <c r="E141" s="186">
        <f>[2]!srE2LETt($C$7,B141,0)</f>
        <v>48.225497704999995</v>
      </c>
      <c r="F141" s="186">
        <f>[2]!srE2Rng($C$7,B141)</f>
        <v>23731.984519999998</v>
      </c>
      <c r="G141" s="186">
        <f>[2]!srE2StLng($C$7,B141)</f>
        <v>770.77864369000008</v>
      </c>
      <c r="H141" s="186">
        <f>[2]!srE2StLtr($C$7,B141)</f>
        <v>873.20290972999999</v>
      </c>
    </row>
    <row r="142" spans="1:8">
      <c r="A142" s="185">
        <f>A133*10</f>
        <v>1.0714273809523809</v>
      </c>
      <c r="B142" s="265">
        <f t="shared" si="2"/>
        <v>1.0714273809523809</v>
      </c>
      <c r="C142" s="186">
        <f>[2]!srE2LETe($C$7,B142,0)</f>
        <v>48.309997299999999</v>
      </c>
      <c r="D142" s="186">
        <f>[2]!srE2LETn($C$7,B142,0)</f>
        <v>0.14500014999999999</v>
      </c>
      <c r="E142" s="186">
        <f>[2]!srE2LETt($C$7,B142,0)</f>
        <v>48.454997450000008</v>
      </c>
      <c r="F142" s="186">
        <f>[2]!srE2Rng($C$7,B142)</f>
        <v>25279.982799999998</v>
      </c>
      <c r="G142" s="186">
        <f>[2]!srE2StLng($C$7,B142)</f>
        <v>806.40960409999991</v>
      </c>
      <c r="H142" s="186">
        <f>[2]!srE2StLtr($C$7,B142)</f>
        <v>882.22989970000003</v>
      </c>
    </row>
    <row r="143" spans="1:8">
      <c r="A143" s="185">
        <f t="shared" si="3"/>
        <v>2.1428547619047618</v>
      </c>
      <c r="B143" s="265">
        <f t="shared" si="2"/>
        <v>2.1428547619047618</v>
      </c>
      <c r="C143" s="186">
        <f>[2]!srE2LETe($C$7,B143,0)</f>
        <v>47.139999600000003</v>
      </c>
      <c r="D143" s="186">
        <f>[2]!srE2LETn($C$7,B143,0)</f>
        <v>8.0850080600000013E-2</v>
      </c>
      <c r="E143" s="186">
        <f>[2]!srE2LETt($C$7,B143,0)</f>
        <v>47.220849680599997</v>
      </c>
      <c r="F143" s="186">
        <f>[2]!srE2Rng($C$7,B143)</f>
        <v>40859.964800000002</v>
      </c>
      <c r="G143" s="186">
        <f>[2]!srE2StLng($C$7,B143)</f>
        <v>1099.9993999999999</v>
      </c>
      <c r="H143" s="186">
        <f>[2]!srE2StLtr($C$7,B143)</f>
        <v>951.39986579999993</v>
      </c>
    </row>
    <row r="144" spans="1:8">
      <c r="A144" s="185">
        <f t="shared" si="3"/>
        <v>3.2142821428571433</v>
      </c>
      <c r="B144" s="265">
        <f t="shared" si="2"/>
        <v>3.2142821428571433</v>
      </c>
      <c r="C144" s="186">
        <f>[2]!srE2LETe($C$7,B144,0)</f>
        <v>45.614004439999995</v>
      </c>
      <c r="D144" s="186">
        <f>[2]!srE2LETn($C$7,B144,0)</f>
        <v>5.7210057599999996E-2</v>
      </c>
      <c r="E144" s="186">
        <f>[2]!srE2LETt($C$7,B144,0)</f>
        <v>45.671214497599998</v>
      </c>
      <c r="F144" s="186">
        <f>[2]!srE2Rng($C$7,B144)</f>
        <v>56963.945640000005</v>
      </c>
      <c r="G144" s="186">
        <f>[2]!srE2StLng($C$7,B144)</f>
        <v>1613.9984400000003</v>
      </c>
      <c r="H144" s="186">
        <f>[2]!srE2StLtr($C$7,B144)</f>
        <v>1007.08382504</v>
      </c>
    </row>
    <row r="145" spans="1:8">
      <c r="A145" s="185">
        <f t="shared" si="3"/>
        <v>4.2857095238095235</v>
      </c>
      <c r="B145" s="265">
        <f t="shared" si="2"/>
        <v>4.2857095238095235</v>
      </c>
      <c r="C145" s="186">
        <f>[2]!srE2LETe($C$7,B145,0)</f>
        <v>44.292005920000001</v>
      </c>
      <c r="D145" s="186">
        <f>[2]!srE2LETn($C$7,B145,0)</f>
        <v>4.4620042400000004E-2</v>
      </c>
      <c r="E145" s="186">
        <f>[2]!srE2LETt($C$7,B145,0)</f>
        <v>44.336625962399999</v>
      </c>
      <c r="F145" s="186">
        <f>[2]!srE2Rng($C$7,B145)</f>
        <v>73561.925119999985</v>
      </c>
      <c r="G145" s="186">
        <f>[2]!srE2StLng($C$7,B145)</f>
        <v>2039.9983999999997</v>
      </c>
      <c r="H145" s="186">
        <f>[2]!srE2StLtr($C$7,B145)</f>
        <v>1057.9996799999999</v>
      </c>
    </row>
    <row r="146" spans="1:8">
      <c r="A146" s="185">
        <f t="shared" si="3"/>
        <v>5.3571369047619042</v>
      </c>
      <c r="B146" s="265">
        <f t="shared" si="2"/>
        <v>5.3571369047619042</v>
      </c>
      <c r="C146" s="186">
        <f>[2]!srE2LETe($C$7,B146,0)</f>
        <v>42.880008000000004</v>
      </c>
      <c r="D146" s="186">
        <f>[2]!srE2LETn($C$7,B146,0)</f>
        <v>3.67300396E-2</v>
      </c>
      <c r="E146" s="186">
        <f>[2]!srE2LETt($C$7,B146,0)</f>
        <v>42.916738039599998</v>
      </c>
      <c r="F146" s="186">
        <f>[2]!srE2Rng($C$7,B146)</f>
        <v>90679.90419999999</v>
      </c>
      <c r="G146" s="186">
        <f>[2]!srE2StLng($C$7,B146)</f>
        <v>2589.9962</v>
      </c>
      <c r="H146" s="186">
        <f>[2]!srE2StLtr($C$7,B146)</f>
        <v>1109.9997000000001</v>
      </c>
    </row>
    <row r="147" spans="1:8">
      <c r="A147" s="185">
        <f t="shared" si="3"/>
        <v>6.4285642857142866</v>
      </c>
      <c r="B147" s="265">
        <f t="shared" si="2"/>
        <v>6.4285642857142866</v>
      </c>
      <c r="C147" s="186">
        <f>[2]!srE2LETe($C$7,B147,0)</f>
        <v>41.344010439999998</v>
      </c>
      <c r="D147" s="186">
        <f>[2]!srE2LETn($C$7,B147,0)</f>
        <v>3.1374032039999993E-2</v>
      </c>
      <c r="E147" s="186">
        <f>[2]!srE2LETt($C$7,B147,0)</f>
        <v>41.375384472039997</v>
      </c>
      <c r="F147" s="186">
        <f>[2]!srE2Rng($C$7,B147)</f>
        <v>108425.88036000001</v>
      </c>
      <c r="G147" s="186">
        <f>[2]!srE2StLng($C$7,B147)</f>
        <v>3195.9961600000006</v>
      </c>
      <c r="H147" s="186">
        <f>[2]!srE2StLtr($C$7,B147)</f>
        <v>1163.99964</v>
      </c>
    </row>
    <row r="148" spans="1:8">
      <c r="A148" s="185">
        <f t="shared" si="3"/>
        <v>7.4999916666666682</v>
      </c>
      <c r="B148" s="265">
        <f t="shared" si="2"/>
        <v>7.4999916666666682</v>
      </c>
      <c r="C148" s="186">
        <f>[2]!srE2LETe($C$7,B148,0)</f>
        <v>39.728012880000001</v>
      </c>
      <c r="D148" s="186">
        <f>[2]!srE2LETn($C$7,B148,0)</f>
        <v>2.7422027019999996E-2</v>
      </c>
      <c r="E148" s="186">
        <f>[2]!srE2LETt($C$7,B148,0)</f>
        <v>39.755434907019996</v>
      </c>
      <c r="F148" s="186">
        <f>[2]!srE2Rng($C$7,B148)</f>
        <v>126851.85412000003</v>
      </c>
      <c r="G148" s="186">
        <f>[2]!srE2StLng($C$7,B148)</f>
        <v>3743.9959400000007</v>
      </c>
      <c r="H148" s="186">
        <f>[2]!srE2StLtr($C$7,B148)</f>
        <v>1207.9995800000002</v>
      </c>
    </row>
    <row r="149" spans="1:8">
      <c r="A149" s="185">
        <f t="shared" si="3"/>
        <v>8.571419047619047</v>
      </c>
      <c r="B149" s="265">
        <f t="shared" si="2"/>
        <v>8.571419047619047</v>
      </c>
      <c r="C149" s="186">
        <f>[2]!srE2LETe($C$7,B149,0)</f>
        <v>38.058014880000002</v>
      </c>
      <c r="D149" s="186">
        <f>[2]!srE2LETn($C$7,B149,0)</f>
        <v>2.4418022080000001E-2</v>
      </c>
      <c r="E149" s="186">
        <f>[2]!srE2LETt($C$7,B149,0)</f>
        <v>38.082432902080001</v>
      </c>
      <c r="F149" s="186">
        <f>[2]!srE2Rng($C$7,B149)</f>
        <v>146105.82295999999</v>
      </c>
      <c r="G149" s="186">
        <f>[2]!srE2StLng($C$7,B149)</f>
        <v>4359.9915999999994</v>
      </c>
      <c r="H149" s="186">
        <f>[2]!srE2StLtr($C$7,B149)</f>
        <v>1261.9995199999998</v>
      </c>
    </row>
    <row r="150" spans="1:8">
      <c r="A150" s="185">
        <f t="shared" si="3"/>
        <v>9.6428464285714277</v>
      </c>
      <c r="B150" s="265">
        <f t="shared" si="2"/>
        <v>9.6428464285714277</v>
      </c>
      <c r="C150" s="186">
        <f>[2]!srE2LETe($C$7,B150,0)</f>
        <v>36.388016380000003</v>
      </c>
      <c r="D150" s="186">
        <f>[2]!srE2LETn($C$7,B150,0)</f>
        <v>2.199101971E-2</v>
      </c>
      <c r="E150" s="186">
        <f>[2]!srE2LETt($C$7,B150,0)</f>
        <v>36.410007399710004</v>
      </c>
      <c r="F150" s="186">
        <f>[2]!srE2Rng($C$7,B150)</f>
        <v>166137.79048</v>
      </c>
      <c r="G150" s="186">
        <f>[2]!srE2StLng($C$7,B150)</f>
        <v>5295.9913599999991</v>
      </c>
      <c r="H150" s="186">
        <f>[2]!srE2StLtr($C$7,B150)</f>
        <v>1316.99937</v>
      </c>
    </row>
    <row r="151" spans="1:8">
      <c r="A151" s="185">
        <f>A142*10</f>
        <v>10.714273809523808</v>
      </c>
      <c r="B151" s="265">
        <f t="shared" si="2"/>
        <v>10.714273809523808</v>
      </c>
      <c r="C151" s="186">
        <f>[2]!srE2LETe($C$7,B151,0)</f>
        <v>34.7500182</v>
      </c>
      <c r="D151" s="186">
        <f>[2]!srE2LETn($C$7,B151,0)</f>
        <v>2.0020021900000001E-2</v>
      </c>
      <c r="E151" s="186">
        <f>[2]!srE2LETt($C$7,B151,0)</f>
        <v>34.770038221900002</v>
      </c>
      <c r="F151" s="186">
        <f>[2]!srE2Rng($C$7,B151)</f>
        <v>187089.7672</v>
      </c>
      <c r="G151" s="186">
        <f>[2]!srE2StLng($C$7,B151)</f>
        <v>6159.9903999999997</v>
      </c>
      <c r="H151" s="186">
        <f>[2]!srE2StLtr($C$7,B151)</f>
        <v>1379.9992999999999</v>
      </c>
    </row>
    <row r="152" spans="1:8">
      <c r="A152" s="185">
        <f t="shared" si="3"/>
        <v>21.428547619047617</v>
      </c>
      <c r="B152" s="265">
        <f t="shared" si="2"/>
        <v>21.428547619047617</v>
      </c>
      <c r="C152" s="186">
        <f>[2]!srE2LETe($C$7,B152,0)</f>
        <v>22.740017999999999</v>
      </c>
      <c r="D152" s="186">
        <f>[2]!srE2LETn($C$7,B152,0)</f>
        <v>1.0840011200000001E-2</v>
      </c>
      <c r="E152" s="186">
        <f>[2]!srE2LETt($C$7,B152,0)</f>
        <v>22.750858011200002</v>
      </c>
      <c r="F152" s="186">
        <f>[2]!srE2Rng($C$7,B152)</f>
        <v>457839.2844</v>
      </c>
      <c r="G152" s="186">
        <f>[2]!srE2StLng($C$7,B152)</f>
        <v>14269.981399999999</v>
      </c>
      <c r="H152" s="186">
        <f>[2]!srE2StLtr($C$7,B152)</f>
        <v>2119.998</v>
      </c>
    </row>
    <row r="153" spans="1:8">
      <c r="A153" s="185">
        <f t="shared" si="3"/>
        <v>32.14282142857143</v>
      </c>
      <c r="B153" s="265">
        <f t="shared" si="2"/>
        <v>32.14282142857143</v>
      </c>
      <c r="C153" s="186">
        <f>[2]!srE2LETe($C$7,B153,0)</f>
        <v>17.984013440000002</v>
      </c>
      <c r="D153" s="186">
        <f>[2]!srE2LETn($C$7,B153,0)</f>
        <v>7.5572079320000004E-3</v>
      </c>
      <c r="E153" s="186">
        <f>[2]!srE2LETt($C$7,B153,0)</f>
        <v>17.991570647932001</v>
      </c>
      <c r="F153" s="186">
        <f>[2]!srE2Rng($C$7,B153)</f>
        <v>832374.64015999995</v>
      </c>
      <c r="G153" s="186">
        <f>[2]!srE2StLng($C$7,B153)</f>
        <v>30919.947799999998</v>
      </c>
      <c r="H153" s="186">
        <f>[2]!srE2StLtr($C$7,B153)</f>
        <v>3193.99604</v>
      </c>
    </row>
    <row r="154" spans="1:8">
      <c r="A154" s="185">
        <f t="shared" si="3"/>
        <v>42.857095238095233</v>
      </c>
      <c r="B154" s="265">
        <f t="shared" si="2"/>
        <v>42.857095238095233</v>
      </c>
      <c r="C154" s="186">
        <f>[2]!srE2LETe($C$7,B154,0)</f>
        <v>14.770011200000001</v>
      </c>
      <c r="D154" s="186">
        <f>[2]!srE2LETn($C$7,B154,0)</f>
        <v>5.8374057440000009E-3</v>
      </c>
      <c r="E154" s="186">
        <f>[2]!srE2LETt($C$7,B154,0)</f>
        <v>14.775848605744002</v>
      </c>
      <c r="F154" s="186">
        <f>[2]!srE2Rng($C$7,B154)</f>
        <v>1295997.7599999998</v>
      </c>
      <c r="G154" s="186">
        <f>[2]!srE2StLng($C$7,B154)</f>
        <v>46291.931519999991</v>
      </c>
      <c r="H154" s="186">
        <f>[2]!srE2StLtr($C$7,B154)</f>
        <v>4509.9935999999998</v>
      </c>
    </row>
    <row r="155" spans="1:8">
      <c r="A155" s="185">
        <f t="shared" si="3"/>
        <v>53.571369047619044</v>
      </c>
      <c r="B155" s="265">
        <f t="shared" si="2"/>
        <v>53.571369047619044</v>
      </c>
      <c r="C155" s="186">
        <f>[2]!srE2LETe($C$7,B155,0)</f>
        <v>12.620010899999999</v>
      </c>
      <c r="D155" s="186">
        <f>[2]!srE2LETn($C$7,B155,0)</f>
        <v>4.7720053300000006E-3</v>
      </c>
      <c r="E155" s="186">
        <f>[2]!srE2LETt($C$7,B155,0)</f>
        <v>12.624782905330001</v>
      </c>
      <c r="F155" s="186">
        <f>[2]!srE2Rng($C$7,B155)</f>
        <v>1839996.9</v>
      </c>
      <c r="G155" s="186">
        <f>[2]!srE2StLng($C$7,B155)</f>
        <v>69419.837399999989</v>
      </c>
      <c r="H155" s="186">
        <f>[2]!srE2StLtr($C$7,B155)</f>
        <v>6059.9910999999993</v>
      </c>
    </row>
    <row r="156" spans="1:8">
      <c r="A156" s="185">
        <f t="shared" si="3"/>
        <v>64.285642857142861</v>
      </c>
      <c r="B156" s="265">
        <f t="shared" si="2"/>
        <v>64.285642857142861</v>
      </c>
      <c r="C156" s="186">
        <f>[2]!srE2LETe($C$7,B156,0)</f>
        <v>11.10400924</v>
      </c>
      <c r="D156" s="186">
        <f>[2]!srE2LETn($C$7,B156,0)</f>
        <v>4.0536042960000003E-3</v>
      </c>
      <c r="E156" s="186">
        <f>[2]!srE2LETt($C$7,B156,0)</f>
        <v>11.108062844296001</v>
      </c>
      <c r="F156" s="186">
        <f>[2]!srE2Rng($C$7,B156)</f>
        <v>2475995.56</v>
      </c>
      <c r="G156" s="186">
        <f>[2]!srE2StLng($C$7,B156)</f>
        <v>96273.824439999997</v>
      </c>
      <c r="H156" s="186">
        <f>[2]!srE2StLtr($C$7,B156)</f>
        <v>7835.9877599999991</v>
      </c>
    </row>
    <row r="157" spans="1:8">
      <c r="A157" s="185">
        <f t="shared" si="3"/>
        <v>74.999916666666678</v>
      </c>
      <c r="B157" s="265">
        <f t="shared" si="2"/>
        <v>74.999916666666678</v>
      </c>
      <c r="C157" s="186">
        <f>[2]!srE2LETe($C$7,B157,0)</f>
        <v>9.9604079239999983</v>
      </c>
      <c r="D157" s="186">
        <f>[2]!srE2LETn($C$7,B157,0)</f>
        <v>3.5274035839999995E-3</v>
      </c>
      <c r="E157" s="186">
        <f>[2]!srE2LETt($C$7,B157,0)</f>
        <v>9.9639353275840001</v>
      </c>
      <c r="F157" s="186">
        <f>[2]!srE2Rng($C$7,B157)</f>
        <v>3185994.2600000007</v>
      </c>
      <c r="G157" s="186">
        <f>[2]!srE2StLng($C$7,B157)</f>
        <v>122119.80050000003</v>
      </c>
      <c r="H157" s="186">
        <f>[2]!srE2StLtr($C$7,B157)</f>
        <v>9803.984040000003</v>
      </c>
    </row>
    <row r="158" spans="1:8">
      <c r="A158" s="185">
        <f t="shared" si="3"/>
        <v>85.714190476190467</v>
      </c>
      <c r="B158" s="265">
        <f t="shared" si="2"/>
        <v>85.714190476190467</v>
      </c>
      <c r="C158" s="186">
        <f>[2]!srE2LETe($C$7,B158,0)</f>
        <v>9.0744065840000019</v>
      </c>
      <c r="D158" s="186">
        <f>[2]!srE2LETn($C$7,B158,0)</f>
        <v>3.1300029200000004E-3</v>
      </c>
      <c r="E158" s="186">
        <f>[2]!srE2LETt($C$7,B158,0)</f>
        <v>9.0775365869200009</v>
      </c>
      <c r="F158" s="186">
        <f>[2]!srE2Rng($C$7,B158)</f>
        <v>3977992.4799999995</v>
      </c>
      <c r="G158" s="186">
        <f>[2]!srE2StLng($C$7,B158)</f>
        <v>152579.57839999997</v>
      </c>
      <c r="H158" s="186">
        <f>[2]!srE2StLtr($C$7,B158)</f>
        <v>11969.979599999999</v>
      </c>
    </row>
    <row r="159" spans="1:8">
      <c r="A159" s="185">
        <f t="shared" si="3"/>
        <v>96.428464285714284</v>
      </c>
      <c r="B159" s="265">
        <f t="shared" si="2"/>
        <v>96.428464285714284</v>
      </c>
      <c r="C159" s="186">
        <f>[2]!srE2LETe($C$7,B159,0)</f>
        <v>8.3497059670000002</v>
      </c>
      <c r="D159" s="186">
        <f>[2]!srE2LETn($C$7,B159,0)</f>
        <v>2.8093025829999999E-3</v>
      </c>
      <c r="E159" s="186">
        <f>[2]!srE2LETt($C$7,B159,0)</f>
        <v>8.3525152695830016</v>
      </c>
      <c r="F159" s="186">
        <f>[2]!srE2Rng($C$7,B159)</f>
        <v>4832990.7299999995</v>
      </c>
      <c r="G159" s="186">
        <f>[2]!srE2StLng($C$7,B159)</f>
        <v>199570.56521</v>
      </c>
      <c r="H159" s="186">
        <f>[2]!srE2StLtr($C$7,B159)</f>
        <v>14285.975159999998</v>
      </c>
    </row>
    <row r="160" spans="1:8">
      <c r="A160" s="185">
        <f>A151*10</f>
        <v>107.14273809523809</v>
      </c>
      <c r="B160" s="265">
        <f t="shared" si="2"/>
        <v>107.14273809523809</v>
      </c>
      <c r="C160" s="186">
        <f>[2]!srE2LETe($C$7,B160,0)</f>
        <v>7.7530066300000007</v>
      </c>
      <c r="D160" s="186">
        <f>[2]!srE2LETn($C$7,B160,0)</f>
        <v>2.5510028700000001E-3</v>
      </c>
      <c r="E160" s="186">
        <f>[2]!srE2LETt($C$7,B160,0)</f>
        <v>7.7555576328700004</v>
      </c>
      <c r="F160" s="186">
        <f>[2]!srE2Rng($C$7,B160)</f>
        <v>5759989.6999999993</v>
      </c>
      <c r="G160" s="186">
        <f>[2]!srE2StLng($C$7,B160)</f>
        <v>243049.51689999999</v>
      </c>
      <c r="H160" s="186">
        <f>[2]!srE2StLtr($C$7,B160)</f>
        <v>16769.972399999999</v>
      </c>
    </row>
    <row r="161" spans="1:8">
      <c r="A161" s="185">
        <f t="shared" si="3"/>
        <v>214.28547619047617</v>
      </c>
      <c r="B161" s="265">
        <f t="shared" si="2"/>
        <v>214.28547619047617</v>
      </c>
      <c r="C161" s="186">
        <f>[2]!srE2LETe($C$7,B161,0)</f>
        <v>4.8850035199999997</v>
      </c>
      <c r="D161" s="186">
        <f>[2]!srE2LETn($C$7,B161,0)</f>
        <v>1.3580014400000001E-3</v>
      </c>
      <c r="E161" s="186">
        <f>[2]!srE2LETt($C$7,B161,0)</f>
        <v>4.8863615214399996</v>
      </c>
      <c r="F161" s="186">
        <f>[2]!srE2Rng($C$7,B161)</f>
        <v>18389966.599999998</v>
      </c>
      <c r="G161" s="186">
        <f>[2]!srE2StLng($C$7,B161)</f>
        <v>647959.10820000002</v>
      </c>
      <c r="H161" s="186">
        <f>[2]!srE2StLtr($C$7,B161)</f>
        <v>49159.916799999999</v>
      </c>
    </row>
    <row r="162" spans="1:8">
      <c r="A162" s="185">
        <f t="shared" si="3"/>
        <v>321.42821428571432</v>
      </c>
      <c r="B162" s="265">
        <f t="shared" ref="B162:B177" si="4">IF(A162&lt;=B$94,A162,NA())</f>
        <v>321.42821428571432</v>
      </c>
      <c r="C162" s="186">
        <f>[2]!srE2LETe($C$7,B162,0)</f>
        <v>3.8732024119999999</v>
      </c>
      <c r="D162" s="186">
        <f>[2]!srE2LETn($C$7,B162,0)</f>
        <v>9.38401014E-4</v>
      </c>
      <c r="E162" s="186">
        <f>[2]!srE2LETt($C$7,B162,0)</f>
        <v>3.8741408130140003</v>
      </c>
      <c r="F162" s="186">
        <f>[2]!srE2Rng($C$7,B162)</f>
        <v>35803936.640000001</v>
      </c>
      <c r="G162" s="186">
        <f>[2]!srE2StLng($C$7,B162)</f>
        <v>1429997.6</v>
      </c>
      <c r="H162" s="186">
        <f>[2]!srE2StLtr($C$7,B162)</f>
        <v>91197.850480000008</v>
      </c>
    </row>
    <row r="163" spans="1:8">
      <c r="A163" s="185">
        <f t="shared" si="3"/>
        <v>428.57095238095235</v>
      </c>
      <c r="B163" s="265">
        <f t="shared" si="4"/>
        <v>428.57095238095235</v>
      </c>
      <c r="C163" s="186">
        <f>[2]!srE2LETe($C$7,B163,0)</f>
        <v>3.3610016800000002</v>
      </c>
      <c r="D163" s="186">
        <f>[2]!srE2LETn($C$7,B163,0)</f>
        <v>7.2064072640000009E-4</v>
      </c>
      <c r="E163" s="186">
        <f>[2]!srE2LETt($C$7,B163,0)</f>
        <v>3.3617223207264004</v>
      </c>
      <c r="F163" s="186">
        <f>[2]!srE2Rng($C$7,B163)</f>
        <v>56645900.959999986</v>
      </c>
      <c r="G163" s="186">
        <f>[2]!srE2StLng($C$7,B163)</f>
        <v>2111997.1199999996</v>
      </c>
      <c r="H163" s="186">
        <f>[2]!srE2StLtr($C$7,B163)</f>
        <v>138901.77871999997</v>
      </c>
    </row>
    <row r="164" spans="1:8">
      <c r="A164" s="185">
        <f t="shared" si="3"/>
        <v>535.71369047619044</v>
      </c>
      <c r="B164" s="265">
        <f t="shared" si="4"/>
        <v>535.71369047619044</v>
      </c>
      <c r="C164" s="186">
        <f>[2]!srE2LETe($C$7,B164,0)</f>
        <v>3.0570014999999997</v>
      </c>
      <c r="D164" s="186">
        <f>[2]!srE2LETn($C$7,B164,0)</f>
        <v>5.8650067000000003E-4</v>
      </c>
      <c r="E164" s="186">
        <f>[2]!srE2LETt($C$7,B164,0)</f>
        <v>3.0575880006699996</v>
      </c>
      <c r="F164" s="186">
        <f>[2]!srE2Rng($C$7,B164)</f>
        <v>79999867.400000006</v>
      </c>
      <c r="G164" s="186">
        <f>[2]!srE2StLng($C$7,B164)</f>
        <v>3039993.6</v>
      </c>
      <c r="H164" s="186">
        <f>[2]!srE2StLtr($C$7,B164)</f>
        <v>189899.71350000001</v>
      </c>
    </row>
    <row r="165" spans="1:8">
      <c r="A165" s="185">
        <f t="shared" si="3"/>
        <v>642.85642857142864</v>
      </c>
      <c r="B165" s="265">
        <f t="shared" si="4"/>
        <v>642.85642857142864</v>
      </c>
      <c r="C165" s="186">
        <f>[2]!srE2LETe($C$7,B165,0)</f>
        <v>2.8630011399999997</v>
      </c>
      <c r="D165" s="186">
        <f>[2]!srE2LETn($C$7,B165,0)</f>
        <v>4.966205351999999E-4</v>
      </c>
      <c r="E165" s="186">
        <f>[2]!srE2LETt($C$7,B165,0)</f>
        <v>2.8634977605351999</v>
      </c>
      <c r="F165" s="186">
        <f>[2]!srE2Rng($C$7,B165)</f>
        <v>105327827.68000001</v>
      </c>
      <c r="G165" s="186">
        <f>[2]!srE2StLng($C$7,B165)</f>
        <v>4043993.6400000006</v>
      </c>
      <c r="H165" s="186">
        <f>[2]!srE2StLtr($C$7,B165)</f>
        <v>242747.64528000003</v>
      </c>
    </row>
    <row r="166" spans="1:8">
      <c r="A166" s="185">
        <f t="shared" si="3"/>
        <v>749.99916666666672</v>
      </c>
      <c r="B166" s="265">
        <f t="shared" si="4"/>
        <v>749.99916666666672</v>
      </c>
      <c r="C166" s="186">
        <f>[2]!srE2LETe($C$7,B166,0)</f>
        <v>2.7292008820000002</v>
      </c>
      <c r="D166" s="186">
        <f>[2]!srE2LETn($C$7,B166,0)</f>
        <v>4.3090044800000001E-4</v>
      </c>
      <c r="E166" s="186">
        <f>[2]!srE2LETt($C$7,B166,0)</f>
        <v>2.7296317824480001</v>
      </c>
      <c r="F166" s="186">
        <f>[2]!srE2Rng($C$7,B166)</f>
        <v>132097787.48</v>
      </c>
      <c r="G166" s="186">
        <f>[2]!srE2StLng($C$7,B166)</f>
        <v>4931993.42</v>
      </c>
      <c r="H166" s="186">
        <f>[2]!srE2StLtr($C$7,B166)</f>
        <v>296345.58195999998</v>
      </c>
    </row>
    <row r="167" spans="1:8">
      <c r="A167" s="185">
        <f t="shared" si="3"/>
        <v>857.1419047619047</v>
      </c>
      <c r="B167" s="265">
        <f t="shared" si="4"/>
        <v>857.1419047619047</v>
      </c>
      <c r="C167" s="186">
        <f>[2]!srE2LETe($C$7,B167,0)</f>
        <v>2.6346006559999999</v>
      </c>
      <c r="D167" s="186">
        <f>[2]!srE2LETn($C$7,B167,0)</f>
        <v>3.8146036160000002E-4</v>
      </c>
      <c r="E167" s="186">
        <f>[2]!srE2LETt($C$7,B167,0)</f>
        <v>2.6349821163615998</v>
      </c>
      <c r="F167" s="186">
        <f>[2]!srE2Rng($C$7,B167)</f>
        <v>160031745.51999998</v>
      </c>
      <c r="G167" s="186">
        <f>[2]!srE2StLng($C$7,B167)</f>
        <v>5887987.2799999984</v>
      </c>
      <c r="H167" s="186">
        <f>[2]!srE2StLtr($C$7,B167)</f>
        <v>350041.52431999997</v>
      </c>
    </row>
    <row r="168" spans="1:8">
      <c r="A168" s="185">
        <f t="shared" si="3"/>
        <v>964.2846428571429</v>
      </c>
      <c r="B168" s="265">
        <f t="shared" si="4"/>
        <v>964.2846428571429</v>
      </c>
      <c r="C168" s="186">
        <f>[2]!srE2LETe($C$7,B168,0)</f>
        <v>2.56300054</v>
      </c>
      <c r="D168" s="186">
        <f>[2]!srE2LETn($C$7,B168,0)</f>
        <v>3.4147534424999997E-4</v>
      </c>
      <c r="E168" s="186">
        <f>[2]!srE2LETt($C$7,B168,0)</f>
        <v>2.5633420153442499</v>
      </c>
      <c r="F168" s="186">
        <f>[2]!srE2Rng($C$7,B168)</f>
        <v>188724707.95000002</v>
      </c>
      <c r="G168" s="186">
        <f>[2]!srE2StLng($C$7,B168)</f>
        <v>7217494.8250000002</v>
      </c>
      <c r="H168" s="186">
        <f>[2]!srE2StLtr($C$7,B168)</f>
        <v>403506.96922500001</v>
      </c>
    </row>
    <row r="169" spans="1:8">
      <c r="A169" s="185">
        <f>A160*10</f>
        <v>1071.4273809523809</v>
      </c>
      <c r="B169" s="265" t="e">
        <f t="shared" si="4"/>
        <v>#N/A</v>
      </c>
      <c r="C169" s="186" t="e">
        <f>[2]!srE2LETe($C$7,B169,0)</f>
        <v>#VALUE!</v>
      </c>
      <c r="D169" s="186" t="e">
        <f>[2]!srE2LETn($C$7,B169,0)</f>
        <v>#VALUE!</v>
      </c>
      <c r="E169" s="186" t="e">
        <f>[2]!srE2LETt($C$7,B169,0)</f>
        <v>#VALUE!</v>
      </c>
      <c r="F169" s="186" t="e">
        <f>[2]!srE2Rng($C$7,B169)</f>
        <v>#VALUE!</v>
      </c>
      <c r="G169" s="186" t="e">
        <f>[2]!srE2StLng($C$7,B169)</f>
        <v>#VALUE!</v>
      </c>
      <c r="H169" s="186" t="e">
        <f>[2]!srE2StLtr($C$7,B169)</f>
        <v>#VALUE!</v>
      </c>
    </row>
    <row r="170" spans="1:8">
      <c r="A170" s="185">
        <f t="shared" si="3"/>
        <v>2142.8547619047617</v>
      </c>
      <c r="B170" s="265" t="e">
        <f t="shared" si="4"/>
        <v>#N/A</v>
      </c>
      <c r="C170" s="186" t="e">
        <f>[2]!srE2LETe($C$7,B170,0)</f>
        <v>#VALUE!</v>
      </c>
      <c r="D170" s="186" t="e">
        <f>[2]!srE2LETn($C$7,B170,0)</f>
        <v>#VALUE!</v>
      </c>
      <c r="E170" s="186" t="e">
        <f>[2]!srE2LETt($C$7,B170,0)</f>
        <v>#VALUE!</v>
      </c>
      <c r="F170" s="186" t="e">
        <f>[2]!srE2Rng($C$7,B170)</f>
        <v>#VALUE!</v>
      </c>
      <c r="G170" s="186" t="e">
        <f>[2]!srE2StLng($C$7,B170)</f>
        <v>#VALUE!</v>
      </c>
      <c r="H170" s="186" t="e">
        <f>[2]!srE2StLtr($C$7,B170)</f>
        <v>#VALUE!</v>
      </c>
    </row>
    <row r="171" spans="1:8">
      <c r="A171" s="185">
        <f t="shared" ref="A171:A177" si="5">A162*10</f>
        <v>3214.2821428571433</v>
      </c>
      <c r="B171" s="265" t="e">
        <f t="shared" si="4"/>
        <v>#N/A</v>
      </c>
      <c r="C171" s="186" t="e">
        <f>[2]!srE2LETe($C$7,B171,0)</f>
        <v>#VALUE!</v>
      </c>
      <c r="D171" s="186" t="e">
        <f>[2]!srE2LETn($C$7,B171,0)</f>
        <v>#VALUE!</v>
      </c>
      <c r="E171" s="186" t="e">
        <f>[2]!srE2LETt($C$7,B171,0)</f>
        <v>#VALUE!</v>
      </c>
      <c r="F171" s="186" t="e">
        <f>[2]!srE2Rng($C$7,B171)</f>
        <v>#VALUE!</v>
      </c>
      <c r="G171" s="186" t="e">
        <f>[2]!srE2StLng($C$7,B171)</f>
        <v>#VALUE!</v>
      </c>
      <c r="H171" s="186" t="e">
        <f>[2]!srE2StLtr($C$7,B171)</f>
        <v>#VALUE!</v>
      </c>
    </row>
    <row r="172" spans="1:8">
      <c r="A172" s="185">
        <f t="shared" si="5"/>
        <v>4285.7095238095235</v>
      </c>
      <c r="B172" s="265" t="e">
        <f t="shared" si="4"/>
        <v>#N/A</v>
      </c>
      <c r="C172" s="186" t="e">
        <f>[2]!srE2LETe($C$7,B172,0)</f>
        <v>#VALUE!</v>
      </c>
      <c r="D172" s="186" t="e">
        <f>[2]!srE2LETn($C$7,B172,0)</f>
        <v>#VALUE!</v>
      </c>
      <c r="E172" s="186" t="e">
        <f>[2]!srE2LETt($C$7,B172,0)</f>
        <v>#VALUE!</v>
      </c>
      <c r="F172" s="186" t="e">
        <f>[2]!srE2Rng($C$7,B172)</f>
        <v>#VALUE!</v>
      </c>
      <c r="G172" s="186" t="e">
        <f>[2]!srE2StLng($C$7,B172)</f>
        <v>#VALUE!</v>
      </c>
      <c r="H172" s="186" t="e">
        <f>[2]!srE2StLtr($C$7,B172)</f>
        <v>#VALUE!</v>
      </c>
    </row>
    <row r="173" spans="1:8">
      <c r="A173" s="185">
        <f t="shared" si="5"/>
        <v>5357.1369047619046</v>
      </c>
      <c r="B173" s="265" t="e">
        <f t="shared" si="4"/>
        <v>#N/A</v>
      </c>
      <c r="C173" s="186" t="e">
        <f>[2]!srE2LETe($C$7,B173,0)</f>
        <v>#VALUE!</v>
      </c>
      <c r="D173" s="186" t="e">
        <f>[2]!srE2LETn($C$7,B173,0)</f>
        <v>#VALUE!</v>
      </c>
      <c r="E173" s="186" t="e">
        <f>[2]!srE2LETt($C$7,B173,0)</f>
        <v>#VALUE!</v>
      </c>
      <c r="F173" s="186" t="e">
        <f>[2]!srE2Rng($C$7,B173)</f>
        <v>#VALUE!</v>
      </c>
      <c r="G173" s="186" t="e">
        <f>[2]!srE2StLng($C$7,B173)</f>
        <v>#VALUE!</v>
      </c>
      <c r="H173" s="186" t="e">
        <f>[2]!srE2StLtr($C$7,B173)</f>
        <v>#VALUE!</v>
      </c>
    </row>
    <row r="174" spans="1:8">
      <c r="A174" s="185">
        <f t="shared" si="5"/>
        <v>6428.5642857142866</v>
      </c>
      <c r="B174" s="265" t="e">
        <f t="shared" si="4"/>
        <v>#N/A</v>
      </c>
      <c r="C174" s="186" t="e">
        <f>[2]!srE2LETe($C$7,B174,0)</f>
        <v>#VALUE!</v>
      </c>
      <c r="D174" s="186" t="e">
        <f>[2]!srE2LETn($C$7,B174,0)</f>
        <v>#VALUE!</v>
      </c>
      <c r="E174" s="186" t="e">
        <f>[2]!srE2LETt($C$7,B174,0)</f>
        <v>#VALUE!</v>
      </c>
      <c r="F174" s="186" t="e">
        <f>[2]!srE2Rng($C$7,B174)</f>
        <v>#VALUE!</v>
      </c>
      <c r="G174" s="186" t="e">
        <f>[2]!srE2StLng($C$7,B174)</f>
        <v>#VALUE!</v>
      </c>
      <c r="H174" s="186" t="e">
        <f>[2]!srE2StLtr($C$7,B174)</f>
        <v>#VALUE!</v>
      </c>
    </row>
    <row r="175" spans="1:8">
      <c r="A175" s="185">
        <f t="shared" si="5"/>
        <v>7499.9916666666668</v>
      </c>
      <c r="B175" s="265" t="e">
        <f t="shared" si="4"/>
        <v>#N/A</v>
      </c>
      <c r="C175" s="186" t="e">
        <f>[2]!srE2LETe($C$7,B175,0)</f>
        <v>#VALUE!</v>
      </c>
      <c r="D175" s="186" t="e">
        <f>[2]!srE2LETn($C$7,B175,0)</f>
        <v>#VALUE!</v>
      </c>
      <c r="E175" s="186" t="e">
        <f>[2]!srE2LETt($C$7,B175,0)</f>
        <v>#VALUE!</v>
      </c>
      <c r="F175" s="186" t="e">
        <f>[2]!srE2Rng($C$7,B175)</f>
        <v>#VALUE!</v>
      </c>
      <c r="G175" s="186" t="e">
        <f>[2]!srE2StLng($C$7,B175)</f>
        <v>#VALUE!</v>
      </c>
      <c r="H175" s="186" t="e">
        <f>[2]!srE2StLtr($C$7,B175)</f>
        <v>#VALUE!</v>
      </c>
    </row>
    <row r="176" spans="1:8">
      <c r="A176" s="185">
        <f t="shared" si="5"/>
        <v>8571.419047619047</v>
      </c>
      <c r="B176" s="265" t="e">
        <f t="shared" si="4"/>
        <v>#N/A</v>
      </c>
      <c r="C176" s="186" t="e">
        <f>[2]!srE2LETe($C$7,B176,0)</f>
        <v>#VALUE!</v>
      </c>
      <c r="D176" s="186" t="e">
        <f>[2]!srE2LETn($C$7,B176,0)</f>
        <v>#VALUE!</v>
      </c>
      <c r="E176" s="186" t="e">
        <f>[2]!srE2LETt($C$7,B176,0)</f>
        <v>#VALUE!</v>
      </c>
      <c r="F176" s="186" t="e">
        <f>[2]!srE2Rng($C$7,B176)</f>
        <v>#VALUE!</v>
      </c>
      <c r="G176" s="186" t="e">
        <f>[2]!srE2StLng($C$7,B176)</f>
        <v>#VALUE!</v>
      </c>
      <c r="H176" s="186" t="e">
        <f>[2]!srE2StLtr($C$7,B176)</f>
        <v>#VALUE!</v>
      </c>
    </row>
    <row r="177" spans="1:8">
      <c r="A177" s="185">
        <f t="shared" si="5"/>
        <v>9642.846428571429</v>
      </c>
      <c r="B177" s="265" t="e">
        <f t="shared" si="4"/>
        <v>#N/A</v>
      </c>
      <c r="C177" s="186" t="e">
        <f>[2]!srE2LETe($C$7,B177,0)</f>
        <v>#VALUE!</v>
      </c>
      <c r="D177" s="186" t="e">
        <f>[2]!srE2LETn($C$7,B177,0)</f>
        <v>#VALUE!</v>
      </c>
      <c r="E177" s="186" t="e">
        <f>[2]!srE2LETt($C$7,B177,0)</f>
        <v>#VALUE!</v>
      </c>
      <c r="F177" s="186" t="e">
        <f>[2]!srE2Rng($C$7,B177)</f>
        <v>#VALUE!</v>
      </c>
      <c r="G177" s="186" t="e">
        <f>[2]!srE2StLng($C$7,B177)</f>
        <v>#VALUE!</v>
      </c>
      <c r="H177" s="186" t="e">
        <f>[2]!srE2StLtr($C$7,B177)</f>
        <v>#VALUE!</v>
      </c>
    </row>
  </sheetData>
  <phoneticPr fontId="20"/>
  <pageMargins left="0.23622047244094491" right="0.23622047244094491" top="0.15748031496062992" bottom="0.15748031496062992" header="0.31496062992125984" footer="0.31496062992125984"/>
  <pageSetup paperSize="9" scale="75" fitToHeight="0" orientation="landscape" r:id="rId1"/>
  <headerFooter>
    <oddHeader>&amp;R&amp;F&amp;A</oddHeader>
    <oddFooter>&amp;C&amp;P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5BC61-E951-4CEA-9CF4-70A1430781D3}">
  <sheetPr codeName="Sheet8">
    <pageSetUpPr fitToPage="1"/>
  </sheetPr>
  <dimension ref="B1:N38"/>
  <sheetViews>
    <sheetView zoomScaleNormal="100" workbookViewId="0">
      <selection activeCell="R27" sqref="R27"/>
    </sheetView>
  </sheetViews>
  <sheetFormatPr defaultColWidth="9" defaultRowHeight="13.2"/>
  <cols>
    <col min="1" max="1" width="2" style="9" customWidth="1"/>
    <col min="2" max="2" width="5.109375" style="9" customWidth="1"/>
    <col min="3" max="4" width="8.77734375" style="9" customWidth="1"/>
    <col min="5" max="5" width="5.21875" style="9" customWidth="1"/>
    <col min="6" max="6" width="8.88671875" style="9" customWidth="1"/>
    <col min="7" max="7" width="8" style="9" customWidth="1"/>
    <col min="8" max="8" width="8.109375" style="9" customWidth="1"/>
    <col min="9" max="9" width="6.77734375" style="9" customWidth="1"/>
    <col min="10" max="10" width="5.77734375" style="9" customWidth="1"/>
    <col min="11" max="12" width="8.77734375" style="9" customWidth="1"/>
    <col min="13" max="13" width="7" style="9" customWidth="1"/>
    <col min="14" max="14" width="9" style="9"/>
    <col min="15" max="15" width="7.109375" style="9" customWidth="1"/>
    <col min="16" max="16384" width="9" style="9"/>
  </cols>
  <sheetData>
    <row r="1" spans="2:12" ht="9" customHeight="1"/>
    <row r="2" spans="2:12" ht="14.25" customHeight="1">
      <c r="B2" s="21" t="str">
        <f>WBtitle</f>
        <v>SRIMfit 入門：　半導体照射試験用</v>
      </c>
      <c r="C2" s="22"/>
      <c r="D2" s="22"/>
      <c r="E2" s="22"/>
      <c r="F2" s="22"/>
      <c r="G2" s="23"/>
      <c r="H2" s="22"/>
      <c r="I2" s="22"/>
      <c r="K2" s="16" t="s">
        <v>6</v>
      </c>
      <c r="L2" s="48" t="s">
        <v>234</v>
      </c>
    </row>
    <row r="3" spans="2:12" s="28" customFormat="1" ht="18" customHeight="1">
      <c r="B3" s="24"/>
      <c r="C3" s="24" t="s">
        <v>139</v>
      </c>
      <c r="D3" s="25" t="s">
        <v>231</v>
      </c>
      <c r="E3" s="26"/>
      <c r="F3" s="26"/>
      <c r="G3" s="27"/>
      <c r="H3" s="26"/>
      <c r="I3" s="26"/>
      <c r="K3" s="29" t="s">
        <v>31</v>
      </c>
      <c r="L3" s="49" t="s">
        <v>235</v>
      </c>
    </row>
    <row r="4" spans="2:12" ht="14.25" customHeight="1">
      <c r="K4" s="37" t="s">
        <v>7</v>
      </c>
      <c r="L4" s="49" t="s">
        <v>236</v>
      </c>
    </row>
    <row r="5" spans="2:12" ht="19.2">
      <c r="C5" s="52" t="s">
        <v>139</v>
      </c>
      <c r="D5" s="51" t="s">
        <v>81</v>
      </c>
    </row>
    <row r="7" spans="2:12">
      <c r="C7" s="45" t="s">
        <v>82</v>
      </c>
    </row>
    <row r="9" spans="2:12" ht="16.2">
      <c r="B9" s="46" t="s">
        <v>41</v>
      </c>
      <c r="C9" s="47" t="s">
        <v>83</v>
      </c>
    </row>
    <row r="11" spans="2:12" ht="16.2">
      <c r="B11" s="46" t="s">
        <v>45</v>
      </c>
      <c r="C11" s="44" t="s">
        <v>90</v>
      </c>
    </row>
    <row r="12" spans="2:12">
      <c r="C12" s="44" t="s">
        <v>84</v>
      </c>
    </row>
    <row r="13" spans="2:12">
      <c r="C13" s="44"/>
    </row>
    <row r="14" spans="2:12">
      <c r="C14" s="44"/>
    </row>
    <row r="15" spans="2:12" ht="16.2">
      <c r="B15" s="15"/>
      <c r="C15" s="33" t="s">
        <v>38</v>
      </c>
      <c r="D15" s="17"/>
      <c r="F15" s="34" t="s">
        <v>86</v>
      </c>
      <c r="G15" s="69" t="s">
        <v>87</v>
      </c>
    </row>
    <row r="16" spans="2:12">
      <c r="C16" s="65" t="s">
        <v>85</v>
      </c>
      <c r="D16" s="66"/>
      <c r="E16" s="43" t="s">
        <v>37</v>
      </c>
      <c r="F16" s="68">
        <f>[2]!srInfoIonA(C16)</f>
        <v>84</v>
      </c>
      <c r="G16" s="70">
        <f>[2]!srInfoIonZ(C16)</f>
        <v>36</v>
      </c>
      <c r="H16" s="67"/>
    </row>
    <row r="17" spans="3:14">
      <c r="C17" s="108" t="s">
        <v>112</v>
      </c>
      <c r="E17" s="20"/>
      <c r="F17" s="110" t="s">
        <v>132</v>
      </c>
    </row>
    <row r="18" spans="3:14">
      <c r="C18" s="108"/>
      <c r="E18" s="20"/>
      <c r="F18" s="110"/>
      <c r="G18" s="110" t="s">
        <v>133</v>
      </c>
      <c r="J18" s="45" t="s">
        <v>91</v>
      </c>
    </row>
    <row r="19" spans="3:14">
      <c r="F19" s="69" t="s">
        <v>88</v>
      </c>
      <c r="G19" s="17" t="s">
        <v>89</v>
      </c>
      <c r="J19" s="69" t="s">
        <v>102</v>
      </c>
      <c r="K19" s="34" t="s">
        <v>92</v>
      </c>
      <c r="L19" s="17"/>
      <c r="M19" s="95" t="s">
        <v>103</v>
      </c>
    </row>
    <row r="20" spans="3:14">
      <c r="C20" s="45" t="s">
        <v>93</v>
      </c>
      <c r="F20" s="70" t="str">
        <f>[2]!srInfoTrgName(C16)</f>
        <v>Si</v>
      </c>
      <c r="G20" s="73">
        <f>[2]!srInfoTrgDens(C16)</f>
        <v>2.3212000000000002</v>
      </c>
      <c r="J20" s="92">
        <v>0</v>
      </c>
      <c r="K20" s="89" t="str">
        <f>[2]!srLETUNm(J20)</f>
        <v>MeV/(mg/cm2)</v>
      </c>
      <c r="L20" s="82"/>
      <c r="M20" s="93">
        <f>[2]!srLETCnvF($C$16,J20)</f>
        <v>1</v>
      </c>
      <c r="N20" s="112" t="s">
        <v>135</v>
      </c>
    </row>
    <row r="21" spans="3:14">
      <c r="C21" s="69" t="s">
        <v>96</v>
      </c>
      <c r="D21" s="36" t="s">
        <v>92</v>
      </c>
      <c r="F21" s="110" t="s">
        <v>101</v>
      </c>
      <c r="J21" s="92">
        <v>1</v>
      </c>
      <c r="K21" s="89" t="str">
        <f>[2]!srLETUNm(J21)</f>
        <v>eV/A</v>
      </c>
      <c r="L21" s="82"/>
      <c r="M21" s="93">
        <f>[2]!srLETCnvF($C$16,J21)</f>
        <v>23.210999999999999</v>
      </c>
      <c r="N21" s="112" t="s">
        <v>136</v>
      </c>
    </row>
    <row r="22" spans="3:14">
      <c r="C22" s="40">
        <v>0</v>
      </c>
      <c r="D22" s="75" t="str">
        <f>[2]!srLETUNm(C22)</f>
        <v>MeV/(mg/cm2)</v>
      </c>
      <c r="G22" s="110" t="s">
        <v>134</v>
      </c>
      <c r="J22" s="92">
        <v>2</v>
      </c>
      <c r="K22" s="89" t="str">
        <f>[2]!srLETUNm(J22)</f>
        <v>keV/um</v>
      </c>
      <c r="L22" s="82"/>
      <c r="M22" s="93">
        <f>[2]!srLETCnvF($C$16,J22)</f>
        <v>232.11</v>
      </c>
      <c r="N22" s="112" t="s">
        <v>137</v>
      </c>
    </row>
    <row r="23" spans="3:14">
      <c r="C23" s="108" t="s">
        <v>102</v>
      </c>
      <c r="D23" s="110" t="s">
        <v>100</v>
      </c>
      <c r="J23" s="92">
        <v>3</v>
      </c>
      <c r="K23" s="89" t="str">
        <f>[2]!srLETUNm(J23)</f>
        <v>MeV/mm</v>
      </c>
      <c r="L23" s="82"/>
      <c r="M23" s="93">
        <f>[2]!srLETCnvF($C$16,J23)</f>
        <v>232.11</v>
      </c>
    </row>
    <row r="24" spans="3:14">
      <c r="J24" s="92">
        <v>4</v>
      </c>
      <c r="K24" s="89" t="str">
        <f>[2]!srLETUNm(J24)</f>
        <v>keV/(ug/cm2)</v>
      </c>
      <c r="L24" s="82"/>
      <c r="M24" s="93">
        <f>[2]!srLETCnvF($C$16,J24)</f>
        <v>1</v>
      </c>
    </row>
    <row r="25" spans="3:14">
      <c r="D25" s="45" t="s">
        <v>117</v>
      </c>
      <c r="J25" s="92">
        <v>5</v>
      </c>
      <c r="K25" s="89" t="str">
        <f>[2]!srLETUNm(J25)</f>
        <v>MeV/(mg/cm2)</v>
      </c>
      <c r="L25" s="82"/>
      <c r="M25" s="93">
        <f>[2]!srLETCnvF($C$16,J25)</f>
        <v>1</v>
      </c>
    </row>
    <row r="26" spans="3:14">
      <c r="C26" s="43" t="s">
        <v>37</v>
      </c>
      <c r="D26" s="76" t="s">
        <v>125</v>
      </c>
      <c r="E26" s="71"/>
      <c r="F26" s="88" t="s">
        <v>98</v>
      </c>
      <c r="J26" s="92">
        <v>6</v>
      </c>
      <c r="K26" s="89" t="str">
        <f>[2]!srLETUNm(J26)</f>
        <v>keV/(mg/cm2)</v>
      </c>
      <c r="L26" s="82"/>
      <c r="M26" s="93">
        <f>[2]!srLETCnvF($C$16,J26)</f>
        <v>1000</v>
      </c>
    </row>
    <row r="27" spans="3:14">
      <c r="C27" s="43"/>
      <c r="D27" s="90" t="str">
        <f>[2]!srLETUNm($C$22)</f>
        <v>MeV/(mg/cm2)</v>
      </c>
      <c r="E27" s="18"/>
      <c r="F27" s="81" t="s">
        <v>99</v>
      </c>
      <c r="J27" s="92">
        <v>7</v>
      </c>
      <c r="K27" s="89" t="str">
        <f>[2]!srLETUNm(J27)</f>
        <v>eV/1E15 atoms/cm2)</v>
      </c>
      <c r="L27" s="82"/>
      <c r="M27" s="93">
        <f>[2]!srLETCnvF($C$16,J27)</f>
        <v>46.637</v>
      </c>
    </row>
    <row r="28" spans="3:14">
      <c r="D28" s="80">
        <f>[2]!srMaxLETt(C16,C22)</f>
        <v>40.998339999999999</v>
      </c>
      <c r="E28" s="91" t="s">
        <v>97</v>
      </c>
      <c r="F28" s="72">
        <f>[2]!srMaxLETt2E(C16)</f>
        <v>2.1428571428571428</v>
      </c>
      <c r="J28" s="40">
        <v>8</v>
      </c>
      <c r="K28" s="90" t="str">
        <f>[2]!srLETUNm(J28)</f>
        <v>L.S.S.</v>
      </c>
      <c r="L28" s="18"/>
      <c r="M28" s="94">
        <f>[2]!srLETCnvF($C$16,J28)</f>
        <v>5.9652999999999998E-2</v>
      </c>
    </row>
    <row r="29" spans="3:14">
      <c r="D29" s="110" t="s">
        <v>123</v>
      </c>
      <c r="K29" s="110" t="s">
        <v>100</v>
      </c>
      <c r="M29" s="110" t="s">
        <v>138</v>
      </c>
    </row>
    <row r="30" spans="3:14">
      <c r="F30" s="110" t="s">
        <v>124</v>
      </c>
    </row>
    <row r="31" spans="3:14">
      <c r="D31" s="45" t="s">
        <v>118</v>
      </c>
      <c r="K31" s="105" t="s">
        <v>127</v>
      </c>
      <c r="L31" s="105"/>
    </row>
    <row r="32" spans="3:14">
      <c r="D32" s="38" t="s">
        <v>61</v>
      </c>
      <c r="F32" s="85" t="s">
        <v>126</v>
      </c>
      <c r="G32" s="71"/>
      <c r="H32" s="74" t="s">
        <v>95</v>
      </c>
      <c r="I32" s="38" t="s">
        <v>95</v>
      </c>
      <c r="K32" s="105"/>
      <c r="L32" s="105" t="s">
        <v>128</v>
      </c>
    </row>
    <row r="33" spans="4:12">
      <c r="D33" s="19" t="s">
        <v>0</v>
      </c>
      <c r="F33" s="77" t="str">
        <f>[2]!srLETUNm($C$22)</f>
        <v>MeV/(mg/cm2)</v>
      </c>
      <c r="G33" s="18"/>
      <c r="H33" s="81" t="s">
        <v>120</v>
      </c>
      <c r="I33" s="78" t="s">
        <v>94</v>
      </c>
      <c r="K33" s="105" t="s">
        <v>129</v>
      </c>
      <c r="L33" s="105"/>
    </row>
    <row r="34" spans="4:12">
      <c r="D34" s="86">
        <v>70</v>
      </c>
      <c r="E34" s="43" t="s">
        <v>37</v>
      </c>
      <c r="F34" s="79">
        <f>[2]!srE2LETt($C$16,$D34,$C$22)</f>
        <v>9.4738735599999995</v>
      </c>
      <c r="G34" s="83"/>
      <c r="H34" s="96">
        <f>[2]!srE2LETe($C$16,$D34,$C$22)</f>
        <v>9.4702000000000002</v>
      </c>
      <c r="I34" s="97">
        <f>[2]!srE2LETn($C$16,$D34,$C$22)</f>
        <v>3.6735600000000002E-3</v>
      </c>
      <c r="L34" s="105" t="s">
        <v>130</v>
      </c>
    </row>
    <row r="35" spans="4:12">
      <c r="D35" s="87">
        <v>2.1</v>
      </c>
      <c r="E35" s="43" t="s">
        <v>37</v>
      </c>
      <c r="F35" s="80">
        <f>[2]!srE2LETt($C$16,$D35,$C$22)</f>
        <v>40.927736799999998</v>
      </c>
      <c r="G35" s="84"/>
      <c r="H35" s="98">
        <f>[2]!srE2LETe($C$16,$D35,$C$22)</f>
        <v>40.847999999999999</v>
      </c>
      <c r="I35" s="99">
        <f>[2]!srE2LETn($C$16,$D35,$C$22)</f>
        <v>7.9736799999999997E-2</v>
      </c>
      <c r="K35" s="111"/>
      <c r="L35" s="105" t="s">
        <v>131</v>
      </c>
    </row>
    <row r="36" spans="4:12">
      <c r="D36" s="108" t="s">
        <v>4</v>
      </c>
      <c r="F36" s="110" t="s">
        <v>119</v>
      </c>
      <c r="G36" s="109"/>
      <c r="H36" s="109"/>
      <c r="I36" s="109"/>
      <c r="K36" s="106"/>
      <c r="L36" s="106"/>
    </row>
    <row r="37" spans="4:12">
      <c r="F37" s="109"/>
      <c r="G37" s="109"/>
      <c r="H37" s="110" t="s">
        <v>121</v>
      </c>
      <c r="I37" s="109"/>
    </row>
    <row r="38" spans="4:12">
      <c r="F38" s="109"/>
      <c r="G38" s="109"/>
      <c r="H38" s="109"/>
      <c r="I38" s="110" t="s">
        <v>122</v>
      </c>
    </row>
  </sheetData>
  <phoneticPr fontId="20"/>
  <pageMargins left="0.23622047244094491" right="0.23622047244094491" top="0.74803149606299213" bottom="0.74803149606299213" header="0.31496062992125984" footer="0.31496062992125984"/>
  <pageSetup paperSize="9" fitToHeight="0" pageOrder="overThenDown" orientation="landscape" r:id="rId1"/>
  <headerFooter>
    <oddHeader>&amp;L&amp;F&amp;A</oddHeader>
    <oddFooter>&amp;C&amp;P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C4DC8-3FDD-4145-BD9F-68420D4AFF3A}">
  <sheetPr codeName="Sheet9"/>
  <dimension ref="B1:R26"/>
  <sheetViews>
    <sheetView zoomScaleNormal="100" workbookViewId="0">
      <selection activeCell="N53" sqref="N53"/>
    </sheetView>
  </sheetViews>
  <sheetFormatPr defaultColWidth="9" defaultRowHeight="13.2"/>
  <cols>
    <col min="1" max="1" width="2" style="9" customWidth="1"/>
    <col min="2" max="2" width="3.21875" style="9" customWidth="1"/>
    <col min="3" max="3" width="7.21875" style="9" customWidth="1"/>
    <col min="4" max="4" width="8" style="9" customWidth="1"/>
    <col min="5" max="5" width="4.6640625" style="9" customWidth="1"/>
    <col min="6" max="6" width="14.6640625" style="9" customWidth="1"/>
    <col min="7" max="7" width="2" style="9" customWidth="1"/>
    <col min="8" max="8" width="8.109375" style="9" customWidth="1"/>
    <col min="9" max="9" width="4" style="9" customWidth="1"/>
    <col min="10" max="10" width="7.6640625" style="9" customWidth="1"/>
    <col min="11" max="11" width="4" style="9" customWidth="1"/>
    <col min="12" max="12" width="7.44140625" style="9" customWidth="1"/>
    <col min="13" max="13" width="4" style="9" customWidth="1"/>
    <col min="14" max="14" width="7.109375" style="9" customWidth="1"/>
    <col min="15" max="15" width="4" style="9" customWidth="1"/>
    <col min="16" max="16" width="7.6640625" style="9" customWidth="1"/>
    <col min="17" max="17" width="7.5546875" style="9" customWidth="1"/>
    <col min="18" max="18" width="9" style="9"/>
    <col min="19" max="19" width="2" style="9" customWidth="1"/>
    <col min="20" max="16384" width="9" style="9"/>
  </cols>
  <sheetData>
    <row r="1" spans="2:16" ht="9" customHeight="1"/>
    <row r="2" spans="2:16" ht="14.25" customHeight="1">
      <c r="B2" s="21" t="str">
        <f>WBtitle</f>
        <v>SRIMfit 入門：　半導体照射試験用</v>
      </c>
      <c r="C2" s="22"/>
      <c r="D2" s="22"/>
      <c r="E2" s="22"/>
      <c r="F2" s="22"/>
      <c r="G2" s="22"/>
      <c r="H2" s="22"/>
      <c r="J2" s="191" t="s">
        <v>6</v>
      </c>
      <c r="K2" s="192" t="s">
        <v>234</v>
      </c>
      <c r="L2" s="192"/>
    </row>
    <row r="3" spans="2:16" s="28" customFormat="1" ht="18" customHeight="1">
      <c r="B3" s="24"/>
      <c r="C3" s="24" t="s">
        <v>177</v>
      </c>
      <c r="D3" s="25" t="s">
        <v>140</v>
      </c>
      <c r="E3" s="25"/>
      <c r="F3" s="26"/>
      <c r="G3" s="26"/>
      <c r="H3" s="26"/>
      <c r="J3" s="193" t="s">
        <v>31</v>
      </c>
      <c r="K3" s="194" t="s">
        <v>235</v>
      </c>
      <c r="L3" s="194"/>
    </row>
    <row r="4" spans="2:16" ht="14.25" customHeight="1">
      <c r="J4" s="195" t="s">
        <v>7</v>
      </c>
      <c r="K4" s="194" t="s">
        <v>236</v>
      </c>
      <c r="L4" s="192"/>
    </row>
    <row r="5" spans="2:16" ht="19.2">
      <c r="C5" s="52" t="s">
        <v>177</v>
      </c>
      <c r="D5" s="51" t="s">
        <v>141</v>
      </c>
      <c r="E5" s="51"/>
    </row>
    <row r="7" spans="2:16">
      <c r="C7" s="45" t="s">
        <v>158</v>
      </c>
    </row>
    <row r="9" spans="2:16" ht="16.2">
      <c r="B9" s="46" t="s">
        <v>41</v>
      </c>
      <c r="C9" s="47" t="s">
        <v>142</v>
      </c>
    </row>
    <row r="10" spans="2:16" ht="16.2">
      <c r="B10" s="46" t="s">
        <v>45</v>
      </c>
      <c r="C10" s="44" t="s">
        <v>291</v>
      </c>
    </row>
    <row r="11" spans="2:16">
      <c r="C11" s="44" t="s">
        <v>290</v>
      </c>
    </row>
    <row r="12" spans="2:16">
      <c r="C12" s="44" t="s">
        <v>143</v>
      </c>
    </row>
    <row r="14" spans="2:16">
      <c r="C14" s="43"/>
      <c r="D14" s="113"/>
      <c r="E14" s="113"/>
      <c r="J14" s="288" t="str">
        <f>D16</f>
        <v>Kapton</v>
      </c>
      <c r="K14" s="288"/>
      <c r="L14" s="288" t="str">
        <f>D17</f>
        <v>Air</v>
      </c>
      <c r="M14" s="288"/>
      <c r="N14" s="288" t="str">
        <f>D18</f>
        <v>Al</v>
      </c>
      <c r="O14" s="288"/>
      <c r="P14" s="288" t="str">
        <f>D17</f>
        <v>Air</v>
      </c>
    </row>
    <row r="15" spans="2:16">
      <c r="C15" s="69" t="s">
        <v>24</v>
      </c>
      <c r="D15" s="34" t="s">
        <v>25</v>
      </c>
      <c r="E15" s="126"/>
      <c r="F15" s="125" t="s">
        <v>17</v>
      </c>
      <c r="G15" s="43"/>
      <c r="J15" s="118" t="s">
        <v>151</v>
      </c>
      <c r="K15" s="106"/>
      <c r="L15" s="118" t="s">
        <v>156</v>
      </c>
      <c r="M15" s="106"/>
      <c r="N15" s="132" t="s">
        <v>154</v>
      </c>
      <c r="O15" s="106"/>
      <c r="P15" s="118" t="s">
        <v>155</v>
      </c>
    </row>
    <row r="16" spans="2:16">
      <c r="C16" s="40" t="s">
        <v>26</v>
      </c>
      <c r="D16" s="114" t="s">
        <v>12</v>
      </c>
      <c r="E16" s="128" t="s">
        <v>168</v>
      </c>
      <c r="F16" s="129" t="str">
        <f>"srim"&amp;C$16&amp;"_"&amp;D16</f>
        <v>srim84Kr_Kapton</v>
      </c>
      <c r="G16" s="115"/>
      <c r="I16" s="67"/>
      <c r="J16" s="19" t="s">
        <v>152</v>
      </c>
      <c r="K16" s="119"/>
      <c r="L16" s="19" t="s">
        <v>13</v>
      </c>
      <c r="M16" s="67"/>
      <c r="N16" s="19" t="s">
        <v>152</v>
      </c>
      <c r="O16" s="67"/>
      <c r="P16" s="19" t="s">
        <v>13</v>
      </c>
    </row>
    <row r="17" spans="3:18">
      <c r="C17" s="108" t="s">
        <v>110</v>
      </c>
      <c r="D17" s="114" t="s">
        <v>11</v>
      </c>
      <c r="E17" s="127" t="s">
        <v>169</v>
      </c>
      <c r="F17" s="130" t="str">
        <f>"srim"&amp;C$16&amp;"_"&amp;D17</f>
        <v>srim84Kr_Air</v>
      </c>
      <c r="G17" s="115"/>
      <c r="I17" s="67"/>
      <c r="J17" s="116">
        <v>50</v>
      </c>
      <c r="K17" s="67"/>
      <c r="L17" s="116">
        <v>145</v>
      </c>
      <c r="M17" s="67"/>
      <c r="N17" s="120">
        <v>123</v>
      </c>
      <c r="O17" s="67"/>
      <c r="P17" s="116">
        <v>200</v>
      </c>
    </row>
    <row r="18" spans="3:18">
      <c r="D18" s="114" t="s">
        <v>10</v>
      </c>
      <c r="E18" s="127" t="s">
        <v>170</v>
      </c>
      <c r="F18" s="130" t="str">
        <f>"srim"&amp;C$16&amp;"_"&amp;D18</f>
        <v>srim84Kr_Al</v>
      </c>
      <c r="G18" s="115"/>
      <c r="H18" s="118" t="s">
        <v>150</v>
      </c>
      <c r="J18" s="108" t="s">
        <v>162</v>
      </c>
      <c r="L18" s="108" t="s">
        <v>163</v>
      </c>
      <c r="N18" s="108" t="s">
        <v>165</v>
      </c>
      <c r="P18" s="108" t="s">
        <v>164</v>
      </c>
      <c r="Q18" s="288" t="str">
        <f>D19</f>
        <v>Si</v>
      </c>
    </row>
    <row r="19" spans="3:18">
      <c r="D19" s="114" t="s">
        <v>9</v>
      </c>
      <c r="E19" s="128" t="s">
        <v>171</v>
      </c>
      <c r="F19" s="131" t="str">
        <f>"srim"&amp;C$16&amp;"_"&amp;D19</f>
        <v>srim84Kr_Si</v>
      </c>
      <c r="G19" s="115"/>
      <c r="H19" s="307" t="s">
        <v>3</v>
      </c>
      <c r="J19" s="124" t="s">
        <v>153</v>
      </c>
      <c r="K19" s="124"/>
      <c r="L19" s="124" t="s">
        <v>153</v>
      </c>
      <c r="M19" s="124"/>
      <c r="N19" s="124" t="s">
        <v>153</v>
      </c>
      <c r="O19" s="124"/>
      <c r="P19" s="124" t="s">
        <v>153</v>
      </c>
      <c r="Q19" s="283" t="s">
        <v>157</v>
      </c>
    </row>
    <row r="20" spans="3:18">
      <c r="D20" s="108" t="s">
        <v>111</v>
      </c>
      <c r="E20" s="123"/>
      <c r="F20" s="108" t="s">
        <v>112</v>
      </c>
      <c r="G20" s="108"/>
      <c r="H20" s="116">
        <v>70</v>
      </c>
      <c r="I20" s="134" t="s">
        <v>180</v>
      </c>
      <c r="J20" s="117">
        <f>[2]!srEnew($F$16,H20,J$17)</f>
        <v>69.069940476190482</v>
      </c>
      <c r="K20" s="134" t="s">
        <v>180</v>
      </c>
      <c r="L20" s="117">
        <f>[2]!srEnewGas($F$17,J20,L17,$C$24*100,$D$24)</f>
        <v>66.848618281659526</v>
      </c>
      <c r="M20" s="134" t="s">
        <v>180</v>
      </c>
      <c r="N20" s="117">
        <f>[2]!srEnew($F$18,L20,N$17)</f>
        <v>62.933649942584658</v>
      </c>
      <c r="O20" s="134" t="s">
        <v>180</v>
      </c>
      <c r="P20" s="117">
        <f>[2]!srEnewGas($F$17,N20,P$17,$C$24*100,$D$24)</f>
        <v>59.704141439818315</v>
      </c>
      <c r="Q20" s="122">
        <f>[2]!srE2LETt($F$19,P20,0)</f>
        <v>10.573664604456146</v>
      </c>
      <c r="R20" s="133" t="s">
        <v>159</v>
      </c>
    </row>
    <row r="21" spans="3:18">
      <c r="F21" s="189" t="s">
        <v>161</v>
      </c>
      <c r="G21" s="110"/>
      <c r="H21" s="108" t="s">
        <v>160</v>
      </c>
      <c r="J21" s="108" t="s">
        <v>14</v>
      </c>
      <c r="L21" s="108" t="s">
        <v>16</v>
      </c>
      <c r="N21" s="108" t="s">
        <v>166</v>
      </c>
      <c r="P21" s="108" t="s">
        <v>167</v>
      </c>
      <c r="Q21" s="108" t="s">
        <v>15</v>
      </c>
    </row>
    <row r="22" spans="3:18">
      <c r="C22" s="38" t="s">
        <v>145</v>
      </c>
      <c r="D22" s="38" t="s">
        <v>144</v>
      </c>
      <c r="J22" s="110" t="s">
        <v>172</v>
      </c>
    </row>
    <row r="23" spans="3:18">
      <c r="C23" s="19" t="s">
        <v>147</v>
      </c>
      <c r="D23" s="19" t="s">
        <v>146</v>
      </c>
      <c r="J23" s="110" t="s">
        <v>173</v>
      </c>
    </row>
    <row r="24" spans="3:18">
      <c r="C24" s="116">
        <v>1020.5</v>
      </c>
      <c r="D24" s="116">
        <v>21</v>
      </c>
      <c r="J24" s="110" t="s">
        <v>174</v>
      </c>
    </row>
    <row r="25" spans="3:18">
      <c r="C25" s="108" t="s">
        <v>149</v>
      </c>
      <c r="D25" s="108" t="s">
        <v>148</v>
      </c>
      <c r="J25" s="110" t="s">
        <v>175</v>
      </c>
    </row>
    <row r="26" spans="3:18">
      <c r="J26" s="110" t="s">
        <v>176</v>
      </c>
    </row>
  </sheetData>
  <phoneticPr fontId="20"/>
  <pageMargins left="0.23622047244094491" right="0.23622047244094491" top="0.74803149606299213" bottom="0.74803149606299213" header="0.31496062992125984" footer="0.31496062992125984"/>
  <pageSetup paperSize="9" fitToHeight="0" pageOrder="overThenDown" orientation="landscape" r:id="rId1"/>
  <headerFooter>
    <oddHeader>&amp;L&amp;F&amp;A</oddHeader>
    <oddFooter>&amp;C&amp;P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390CE-FEE1-4157-993F-712E58697281}">
  <sheetPr>
    <pageSetUpPr fitToPage="1"/>
  </sheetPr>
  <dimension ref="B1:V33"/>
  <sheetViews>
    <sheetView zoomScaleNormal="100" workbookViewId="0">
      <selection activeCell="S46" sqref="S46"/>
    </sheetView>
  </sheetViews>
  <sheetFormatPr defaultColWidth="9" defaultRowHeight="13.2"/>
  <cols>
    <col min="1" max="1" width="2" style="9" customWidth="1"/>
    <col min="2" max="2" width="3.21875" style="9" customWidth="1"/>
    <col min="3" max="3" width="7.21875" style="9" customWidth="1"/>
    <col min="4" max="4" width="8" style="9" customWidth="1"/>
    <col min="5" max="5" width="5" style="9" customWidth="1"/>
    <col min="6" max="6" width="14.6640625" style="9" customWidth="1"/>
    <col min="7" max="7" width="2" style="9" customWidth="1"/>
    <col min="8" max="8" width="8.109375" style="9" customWidth="1"/>
    <col min="9" max="9" width="2.33203125" style="9" customWidth="1"/>
    <col min="10" max="10" width="7.6640625" style="9" customWidth="1"/>
    <col min="11" max="11" width="2.33203125" style="9" customWidth="1"/>
    <col min="12" max="12" width="7.44140625" style="9" customWidth="1"/>
    <col min="13" max="13" width="2.33203125" style="9" customWidth="1"/>
    <col min="14" max="14" width="7.33203125" style="9" customWidth="1"/>
    <col min="15" max="15" width="2.33203125" style="9" customWidth="1"/>
    <col min="16" max="16" width="7.33203125" style="9" customWidth="1"/>
    <col min="17" max="17" width="2.33203125" style="9" customWidth="1"/>
    <col min="18" max="18" width="7.33203125" style="9" customWidth="1"/>
    <col min="19" max="19" width="2.33203125" style="9" customWidth="1"/>
    <col min="20" max="20" width="7.33203125" style="9" customWidth="1"/>
    <col min="21" max="21" width="2" style="9" customWidth="1"/>
    <col min="22" max="16384" width="9" style="9"/>
  </cols>
  <sheetData>
    <row r="1" spans="2:20" ht="9" customHeight="1"/>
    <row r="2" spans="2:20" ht="14.25" customHeight="1">
      <c r="B2" s="21" t="str">
        <f>WBtitle</f>
        <v>SRIMfit 入門：　半導体照射試験用</v>
      </c>
      <c r="C2" s="22"/>
      <c r="D2" s="22"/>
      <c r="E2" s="22"/>
      <c r="F2" s="22"/>
      <c r="G2" s="22"/>
      <c r="H2" s="22"/>
      <c r="J2" s="191" t="s">
        <v>6</v>
      </c>
      <c r="K2" s="192" t="s">
        <v>234</v>
      </c>
      <c r="L2" s="192"/>
    </row>
    <row r="3" spans="2:20" s="28" customFormat="1" ht="18" customHeight="1">
      <c r="B3" s="24"/>
      <c r="C3" s="24" t="s">
        <v>279</v>
      </c>
      <c r="D3" s="25" t="s">
        <v>178</v>
      </c>
      <c r="E3" s="25"/>
      <c r="F3" s="26"/>
      <c r="G3" s="26"/>
      <c r="H3" s="26"/>
      <c r="J3" s="193" t="s">
        <v>31</v>
      </c>
      <c r="K3" s="194" t="s">
        <v>235</v>
      </c>
      <c r="L3" s="194"/>
    </row>
    <row r="4" spans="2:20" ht="14.25" customHeight="1">
      <c r="J4" s="195" t="s">
        <v>7</v>
      </c>
      <c r="K4" s="194" t="s">
        <v>236</v>
      </c>
      <c r="L4" s="192"/>
    </row>
    <row r="5" spans="2:20" ht="19.2">
      <c r="C5" s="52" t="s">
        <v>279</v>
      </c>
      <c r="D5" s="51" t="s">
        <v>179</v>
      </c>
      <c r="E5" s="51"/>
    </row>
    <row r="7" spans="2:20">
      <c r="C7" s="45" t="s">
        <v>281</v>
      </c>
    </row>
    <row r="8" spans="2:20">
      <c r="C8" s="45" t="s">
        <v>280</v>
      </c>
    </row>
    <row r="9" spans="2:20" ht="16.2">
      <c r="B9" s="46" t="s">
        <v>41</v>
      </c>
      <c r="C9" s="47" t="s">
        <v>310</v>
      </c>
    </row>
    <row r="10" spans="2:20" ht="16.2">
      <c r="B10" s="46" t="s">
        <v>45</v>
      </c>
      <c r="C10" s="44" t="s">
        <v>282</v>
      </c>
    </row>
    <row r="11" spans="2:20">
      <c r="C11" s="44" t="s">
        <v>283</v>
      </c>
      <c r="T11" s="288" t="str">
        <f>D21</f>
        <v>Si</v>
      </c>
    </row>
    <row r="12" spans="2:20">
      <c r="T12" s="285" t="s">
        <v>297</v>
      </c>
    </row>
    <row r="13" spans="2:20">
      <c r="C13" s="44"/>
      <c r="T13" s="292">
        <f>[2]!srMaxLETt($F$21,0)</f>
        <v>40.998339999999999</v>
      </c>
    </row>
    <row r="14" spans="2:20">
      <c r="C14" s="43"/>
      <c r="D14" s="113"/>
      <c r="E14" s="113"/>
      <c r="J14" s="288" t="str">
        <f>D16</f>
        <v>Kapton</v>
      </c>
      <c r="K14" s="288"/>
      <c r="L14" s="288" t="str">
        <f>D17</f>
        <v>Air</v>
      </c>
      <c r="M14" s="288"/>
      <c r="N14" s="288" t="str">
        <f>D18</f>
        <v>Epoxy</v>
      </c>
      <c r="O14" s="288"/>
      <c r="P14" s="288" t="str">
        <f>D19</f>
        <v>SiO2</v>
      </c>
      <c r="Q14" s="288"/>
      <c r="R14" s="288" t="str">
        <f>D20</f>
        <v>Cu</v>
      </c>
      <c r="T14" s="108" t="s">
        <v>297</v>
      </c>
    </row>
    <row r="15" spans="2:20">
      <c r="C15" s="69" t="s">
        <v>24</v>
      </c>
      <c r="D15" s="34" t="s">
        <v>25</v>
      </c>
      <c r="E15" s="126"/>
      <c r="F15" s="125" t="s">
        <v>17</v>
      </c>
      <c r="G15" s="43"/>
      <c r="J15" s="118" t="s">
        <v>151</v>
      </c>
      <c r="K15" s="106"/>
      <c r="L15" s="118" t="s">
        <v>156</v>
      </c>
      <c r="M15" s="106"/>
      <c r="N15" s="118" t="s">
        <v>284</v>
      </c>
      <c r="O15" s="106"/>
      <c r="P15" s="118" t="s">
        <v>285</v>
      </c>
      <c r="Q15" s="106"/>
      <c r="R15" s="118" t="s">
        <v>286</v>
      </c>
      <c r="S15" s="106"/>
      <c r="T15" s="286" t="s">
        <v>181</v>
      </c>
    </row>
    <row r="16" spans="2:20">
      <c r="C16" s="40" t="s">
        <v>26</v>
      </c>
      <c r="D16" s="114" t="s">
        <v>12</v>
      </c>
      <c r="E16" s="128" t="s">
        <v>168</v>
      </c>
      <c r="F16" s="129" t="str">
        <f>"srim"&amp;C$16&amp;"_"&amp;D16</f>
        <v>srim84Kr_Kapton</v>
      </c>
      <c r="G16" s="115"/>
      <c r="I16" s="67"/>
      <c r="J16" s="19" t="s">
        <v>152</v>
      </c>
      <c r="K16" s="119"/>
      <c r="L16" s="19" t="s">
        <v>13</v>
      </c>
      <c r="M16" s="67"/>
      <c r="N16" s="19" t="s">
        <v>152</v>
      </c>
      <c r="O16" s="67"/>
      <c r="P16" s="19" t="s">
        <v>152</v>
      </c>
      <c r="Q16" s="67"/>
      <c r="R16" s="19" t="s">
        <v>152</v>
      </c>
      <c r="S16" s="67"/>
      <c r="T16" s="314" t="s">
        <v>293</v>
      </c>
    </row>
    <row r="17" spans="3:22">
      <c r="C17" s="108" t="s">
        <v>110</v>
      </c>
      <c r="D17" s="114" t="s">
        <v>11</v>
      </c>
      <c r="E17" s="127" t="s">
        <v>169</v>
      </c>
      <c r="F17" s="130" t="str">
        <f>"srim"&amp;C$16&amp;"_"&amp;D17</f>
        <v>srim84Kr_Air</v>
      </c>
      <c r="G17" s="115"/>
      <c r="I17" s="67"/>
      <c r="J17" s="116">
        <v>50</v>
      </c>
      <c r="K17" s="67"/>
      <c r="L17" s="116">
        <v>145</v>
      </c>
      <c r="M17" s="67"/>
      <c r="N17" s="116">
        <v>100</v>
      </c>
      <c r="O17" s="67"/>
      <c r="P17" s="116">
        <v>50</v>
      </c>
      <c r="Q17" s="67"/>
      <c r="R17" s="116">
        <v>10</v>
      </c>
      <c r="S17" s="67"/>
      <c r="T17" s="308">
        <v>10</v>
      </c>
    </row>
    <row r="18" spans="3:22">
      <c r="D18" s="114" t="s">
        <v>288</v>
      </c>
      <c r="E18" s="127" t="s">
        <v>284</v>
      </c>
      <c r="F18" s="130" t="str">
        <f>"srim"&amp;C$16&amp;"_"&amp;D18</f>
        <v>srim84Kr_Epoxy</v>
      </c>
      <c r="G18" s="115"/>
      <c r="H18" s="289" t="s">
        <v>150</v>
      </c>
      <c r="J18" s="108" t="s">
        <v>162</v>
      </c>
      <c r="L18" s="108" t="s">
        <v>163</v>
      </c>
      <c r="N18" s="108" t="s">
        <v>294</v>
      </c>
      <c r="P18" s="108" t="s">
        <v>295</v>
      </c>
      <c r="R18" s="108" t="s">
        <v>296</v>
      </c>
      <c r="T18" s="108" t="s">
        <v>15</v>
      </c>
    </row>
    <row r="19" spans="3:22">
      <c r="D19" s="114" t="s">
        <v>287</v>
      </c>
      <c r="E19" s="127" t="s">
        <v>285</v>
      </c>
      <c r="F19" s="130" t="str">
        <f t="shared" ref="F19:F20" si="0">"srim"&amp;C$16&amp;"_"&amp;D19</f>
        <v>srim84Kr_SiO2</v>
      </c>
      <c r="G19" s="115"/>
      <c r="H19" s="290" t="s">
        <v>3</v>
      </c>
      <c r="I19" s="121" t="s">
        <v>301</v>
      </c>
      <c r="J19" s="124" t="s">
        <v>300</v>
      </c>
      <c r="K19" s="124"/>
      <c r="L19" s="124" t="s">
        <v>300</v>
      </c>
      <c r="M19" s="124"/>
      <c r="N19" s="124" t="s">
        <v>300</v>
      </c>
      <c r="O19" s="124"/>
      <c r="P19" s="124" t="s">
        <v>300</v>
      </c>
      <c r="Q19" s="124"/>
      <c r="R19" s="124" t="s">
        <v>300</v>
      </c>
      <c r="S19" s="124"/>
      <c r="T19" s="284" t="s">
        <v>352</v>
      </c>
    </row>
    <row r="20" spans="3:22">
      <c r="D20" s="114" t="s">
        <v>289</v>
      </c>
      <c r="E20" s="127" t="s">
        <v>286</v>
      </c>
      <c r="F20" s="130" t="str">
        <f t="shared" si="0"/>
        <v>srim84Kr_Cu</v>
      </c>
      <c r="G20" s="115"/>
      <c r="H20" s="291">
        <f>J20</f>
        <v>72.695860447415569</v>
      </c>
      <c r="I20" s="134" t="s">
        <v>182</v>
      </c>
      <c r="J20" s="117">
        <f>[2]!srEold($F$16,L20,J$17)</f>
        <v>72.695860447415569</v>
      </c>
      <c r="K20" s="134" t="s">
        <v>182</v>
      </c>
      <c r="L20" s="117">
        <f>[2]!srEoldGas($F$17,N20,L17,$C$26*100,$D$26)</f>
        <v>71.820510307359541</v>
      </c>
      <c r="M20" s="134" t="s">
        <v>182</v>
      </c>
      <c r="N20" s="117">
        <f>[2]!srEold($F$18,P20,N17)</f>
        <v>69.619287542510037</v>
      </c>
      <c r="O20" s="134" t="s">
        <v>182</v>
      </c>
      <c r="P20" s="117">
        <f>[2]!srEold($F$19,R20,P17)</f>
        <v>67.031295824083543</v>
      </c>
      <c r="Q20" s="134" t="s">
        <v>182</v>
      </c>
      <c r="R20" s="117">
        <f>[2]!srEold($F$20,T20,R17)</f>
        <v>65.614062263992835</v>
      </c>
      <c r="S20" s="134" t="s">
        <v>182</v>
      </c>
      <c r="T20" s="117">
        <f>[2]!srLETt2E($F$21,T17,0,1)</f>
        <v>64.730527383743919</v>
      </c>
      <c r="U20" s="284"/>
    </row>
    <row r="21" spans="3:22">
      <c r="D21" s="114" t="s">
        <v>9</v>
      </c>
      <c r="E21" s="128" t="s">
        <v>171</v>
      </c>
      <c r="F21" s="131" t="str">
        <f>"srim"&amp;C$16&amp;"_"&amp;D21</f>
        <v>srim84Kr_Si</v>
      </c>
      <c r="G21" s="115"/>
      <c r="H21" s="108" t="s">
        <v>160</v>
      </c>
      <c r="J21" s="108" t="s">
        <v>299</v>
      </c>
      <c r="L21" s="108" t="s">
        <v>298</v>
      </c>
      <c r="N21" s="108" t="s">
        <v>167</v>
      </c>
      <c r="P21" s="108" t="s">
        <v>166</v>
      </c>
      <c r="R21" s="108" t="s">
        <v>16</v>
      </c>
      <c r="T21" s="108" t="s">
        <v>14</v>
      </c>
    </row>
    <row r="22" spans="3:22">
      <c r="D22" s="108" t="s">
        <v>111</v>
      </c>
      <c r="E22" s="123"/>
      <c r="F22" s="108" t="s">
        <v>112</v>
      </c>
      <c r="G22" s="108"/>
      <c r="J22" s="110" t="s">
        <v>302</v>
      </c>
      <c r="V22" s="133"/>
    </row>
    <row r="23" spans="3:22">
      <c r="F23" s="189" t="s">
        <v>161</v>
      </c>
      <c r="G23" s="110"/>
      <c r="J23" s="110" t="s">
        <v>303</v>
      </c>
    </row>
    <row r="24" spans="3:22">
      <c r="C24" s="38" t="s">
        <v>145</v>
      </c>
      <c r="D24" s="38" t="s">
        <v>144</v>
      </c>
      <c r="J24" s="110" t="s">
        <v>304</v>
      </c>
    </row>
    <row r="25" spans="3:22">
      <c r="C25" s="19" t="s">
        <v>147</v>
      </c>
      <c r="D25" s="19" t="s">
        <v>146</v>
      </c>
      <c r="J25" s="110" t="s">
        <v>305</v>
      </c>
    </row>
    <row r="26" spans="3:22">
      <c r="C26" s="116">
        <v>1020.5</v>
      </c>
      <c r="D26" s="116">
        <v>21</v>
      </c>
      <c r="J26" s="110" t="s">
        <v>306</v>
      </c>
    </row>
    <row r="27" spans="3:22">
      <c r="C27" s="108" t="s">
        <v>149</v>
      </c>
      <c r="D27" s="108" t="s">
        <v>148</v>
      </c>
      <c r="J27" s="110" t="s">
        <v>307</v>
      </c>
    </row>
    <row r="28" spans="3:22">
      <c r="J28" s="110" t="s">
        <v>308</v>
      </c>
    </row>
    <row r="29" spans="3:22">
      <c r="J29" s="110" t="s">
        <v>309</v>
      </c>
    </row>
    <row r="30" spans="3:22">
      <c r="J30" s="110"/>
    </row>
    <row r="31" spans="3:22">
      <c r="J31" s="110"/>
    </row>
    <row r="32" spans="3:22">
      <c r="J32" s="110"/>
    </row>
    <row r="33" spans="10:10">
      <c r="J33" s="110"/>
    </row>
  </sheetData>
  <phoneticPr fontId="20"/>
  <pageMargins left="0.23622047244094491" right="0.23622047244094491" top="0.74803149606299213" bottom="0.74803149606299213" header="0.31496062992125984" footer="0.31496062992125984"/>
  <pageSetup paperSize="9" fitToHeight="0" pageOrder="overThenDown" orientation="landscape" r:id="rId1"/>
  <headerFooter>
    <oddHeader>&amp;L&amp;F&amp;A</oddHeader>
    <oddFooter>&amp;C&amp;P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80548-9948-4158-85E1-0EF52175B4E7}">
  <sheetPr>
    <pageSetUpPr fitToPage="1"/>
  </sheetPr>
  <dimension ref="B1:S32"/>
  <sheetViews>
    <sheetView zoomScaleNormal="100" workbookViewId="0">
      <selection activeCell="R18" sqref="R18"/>
    </sheetView>
  </sheetViews>
  <sheetFormatPr defaultColWidth="9" defaultRowHeight="13.2"/>
  <cols>
    <col min="1" max="1" width="2" style="9" customWidth="1"/>
    <col min="2" max="2" width="3.21875" style="9" customWidth="1"/>
    <col min="3" max="3" width="7.21875" style="9" customWidth="1"/>
    <col min="4" max="4" width="8" style="9" customWidth="1"/>
    <col min="5" max="5" width="4.6640625" style="9" customWidth="1"/>
    <col min="6" max="6" width="14.6640625" style="9" customWidth="1"/>
    <col min="7" max="7" width="2" style="9" customWidth="1"/>
    <col min="8" max="8" width="8.109375" style="9" customWidth="1"/>
    <col min="9" max="9" width="4" style="9" customWidth="1"/>
    <col min="10" max="10" width="7.6640625" style="9" customWidth="1"/>
    <col min="11" max="11" width="4" style="9" customWidth="1"/>
    <col min="12" max="12" width="7.44140625" style="9" customWidth="1"/>
    <col min="13" max="13" width="4" style="9" customWidth="1"/>
    <col min="14" max="14" width="7.109375" style="9" customWidth="1"/>
    <col min="15" max="15" width="4" style="9" customWidth="1"/>
    <col min="16" max="16" width="7.6640625" style="9" customWidth="1"/>
    <col min="17" max="17" width="4" style="9" customWidth="1"/>
    <col min="18" max="18" width="9" style="9"/>
    <col min="19" max="19" width="2.21875" style="9" customWidth="1"/>
    <col min="20" max="16384" width="9" style="9"/>
  </cols>
  <sheetData>
    <row r="1" spans="2:18" ht="9" customHeight="1"/>
    <row r="2" spans="2:18" ht="14.25" customHeight="1">
      <c r="B2" s="21" t="str">
        <f>WBtitle</f>
        <v>SRIMfit 入門：　半導体照射試験用</v>
      </c>
      <c r="C2" s="22"/>
      <c r="D2" s="22"/>
      <c r="E2" s="22"/>
      <c r="F2" s="22"/>
      <c r="G2" s="22"/>
      <c r="H2" s="22"/>
      <c r="J2" s="191" t="s">
        <v>6</v>
      </c>
      <c r="K2" s="192" t="s">
        <v>234</v>
      </c>
      <c r="L2" s="192"/>
    </row>
    <row r="3" spans="2:18" s="28" customFormat="1" ht="18" customHeight="1">
      <c r="B3" s="24"/>
      <c r="C3" s="24" t="s">
        <v>311</v>
      </c>
      <c r="D3" s="25" t="s">
        <v>312</v>
      </c>
      <c r="E3" s="25"/>
      <c r="F3" s="26"/>
      <c r="G3" s="26"/>
      <c r="H3" s="26"/>
      <c r="J3" s="193" t="s">
        <v>31</v>
      </c>
      <c r="K3" s="194" t="s">
        <v>235</v>
      </c>
      <c r="L3" s="194"/>
    </row>
    <row r="4" spans="2:18" ht="14.25" customHeight="1">
      <c r="J4" s="195" t="s">
        <v>7</v>
      </c>
      <c r="K4" s="194" t="s">
        <v>236</v>
      </c>
      <c r="L4" s="192"/>
    </row>
    <row r="5" spans="2:18" ht="19.2">
      <c r="C5" s="52" t="s">
        <v>311</v>
      </c>
      <c r="D5" s="51" t="s">
        <v>313</v>
      </c>
      <c r="E5" s="51"/>
    </row>
    <row r="7" spans="2:18">
      <c r="C7" s="45" t="s">
        <v>315</v>
      </c>
    </row>
    <row r="8" spans="2:18">
      <c r="C8" s="45" t="s">
        <v>316</v>
      </c>
    </row>
    <row r="9" spans="2:18" ht="16.2">
      <c r="B9" s="46" t="s">
        <v>41</v>
      </c>
      <c r="C9" s="47" t="s">
        <v>314</v>
      </c>
    </row>
    <row r="10" spans="2:18" ht="16.2">
      <c r="B10" s="46" t="s">
        <v>45</v>
      </c>
      <c r="C10" s="44" t="s">
        <v>317</v>
      </c>
    </row>
    <row r="11" spans="2:18">
      <c r="C11" s="44" t="s">
        <v>318</v>
      </c>
      <c r="R11" s="288" t="str">
        <f>D19</f>
        <v>Si</v>
      </c>
    </row>
    <row r="12" spans="2:18">
      <c r="C12" s="44" t="s">
        <v>319</v>
      </c>
      <c r="R12" s="285" t="s">
        <v>297</v>
      </c>
    </row>
    <row r="13" spans="2:18">
      <c r="C13" s="44" t="s">
        <v>320</v>
      </c>
      <c r="R13" s="292">
        <f>[2]!srMaxLETt($F$19,0)</f>
        <v>40.998339999999999</v>
      </c>
    </row>
    <row r="14" spans="2:18">
      <c r="C14" s="43"/>
      <c r="D14" s="113"/>
      <c r="E14" s="113"/>
      <c r="J14" s="288" t="str">
        <f>D16</f>
        <v>Kapton</v>
      </c>
      <c r="K14" s="288"/>
      <c r="L14" s="288" t="str">
        <f>D17</f>
        <v>Air</v>
      </c>
      <c r="M14" s="288"/>
      <c r="N14" s="288" t="str">
        <f>D18</f>
        <v>Al</v>
      </c>
      <c r="O14" s="288"/>
      <c r="P14" s="288" t="str">
        <f>D17</f>
        <v>Air</v>
      </c>
      <c r="R14" s="108" t="s">
        <v>297</v>
      </c>
    </row>
    <row r="15" spans="2:18">
      <c r="C15" s="69" t="s">
        <v>24</v>
      </c>
      <c r="D15" s="34" t="s">
        <v>25</v>
      </c>
      <c r="E15" s="126"/>
      <c r="F15" s="125" t="s">
        <v>17</v>
      </c>
      <c r="G15" s="43"/>
      <c r="J15" s="118" t="s">
        <v>151</v>
      </c>
      <c r="K15" s="106"/>
      <c r="L15" s="118" t="s">
        <v>156</v>
      </c>
      <c r="M15" s="106"/>
      <c r="N15" s="310" t="s">
        <v>154</v>
      </c>
      <c r="O15" s="106"/>
      <c r="P15" s="118" t="s">
        <v>155</v>
      </c>
      <c r="Q15" s="106"/>
      <c r="R15" s="286" t="s">
        <v>181</v>
      </c>
    </row>
    <row r="16" spans="2:18">
      <c r="C16" s="40" t="s">
        <v>26</v>
      </c>
      <c r="D16" s="114" t="s">
        <v>12</v>
      </c>
      <c r="E16" s="128" t="s">
        <v>168</v>
      </c>
      <c r="F16" s="129" t="str">
        <f>"srim"&amp;C$16&amp;"_"&amp;D16</f>
        <v>srim84Kr_Kapton</v>
      </c>
      <c r="G16" s="115"/>
      <c r="I16" s="67"/>
      <c r="J16" s="19" t="s">
        <v>152</v>
      </c>
      <c r="K16" s="119"/>
      <c r="L16" s="19" t="s">
        <v>13</v>
      </c>
      <c r="M16" s="67"/>
      <c r="N16" s="311" t="s">
        <v>152</v>
      </c>
      <c r="O16" s="67"/>
      <c r="P16" s="19" t="s">
        <v>13</v>
      </c>
      <c r="Q16" s="67"/>
      <c r="R16" s="287" t="s">
        <v>293</v>
      </c>
    </row>
    <row r="17" spans="3:19">
      <c r="C17" s="108" t="s">
        <v>110</v>
      </c>
      <c r="D17" s="114" t="s">
        <v>11</v>
      </c>
      <c r="E17" s="127" t="s">
        <v>169</v>
      </c>
      <c r="F17" s="130" t="str">
        <f>"srim"&amp;C$16&amp;"_"&amp;D17</f>
        <v>srim84Kr_Air</v>
      </c>
      <c r="G17" s="115"/>
      <c r="I17" s="67"/>
      <c r="J17" s="116">
        <v>50</v>
      </c>
      <c r="K17" s="67"/>
      <c r="L17" s="116">
        <v>145</v>
      </c>
      <c r="M17" s="67"/>
      <c r="N17" s="309">
        <f>L23-P23</f>
        <v>-33.06377481597201</v>
      </c>
      <c r="O17" s="67"/>
      <c r="P17" s="116">
        <v>200</v>
      </c>
      <c r="Q17" s="67"/>
      <c r="R17" s="308">
        <v>10</v>
      </c>
    </row>
    <row r="18" spans="3:19">
      <c r="D18" s="114" t="s">
        <v>10</v>
      </c>
      <c r="E18" s="127" t="s">
        <v>170</v>
      </c>
      <c r="F18" s="130" t="str">
        <f>"srim"&amp;C$16&amp;"_"&amp;D18</f>
        <v>srim84Kr_Al</v>
      </c>
      <c r="G18" s="115"/>
      <c r="H18" s="312" t="s">
        <v>150</v>
      </c>
      <c r="J18" s="108" t="s">
        <v>162</v>
      </c>
      <c r="L18" s="108" t="s">
        <v>163</v>
      </c>
      <c r="N18" s="108" t="s">
        <v>165</v>
      </c>
      <c r="P18" s="108" t="s">
        <v>164</v>
      </c>
      <c r="R18" s="108" t="s">
        <v>15</v>
      </c>
    </row>
    <row r="19" spans="3:19">
      <c r="D19" s="114" t="s">
        <v>9</v>
      </c>
      <c r="E19" s="128" t="s">
        <v>171</v>
      </c>
      <c r="F19" s="131" t="str">
        <f>"srim"&amp;C$16&amp;"_"&amp;D19</f>
        <v>srim84Kr_Si</v>
      </c>
      <c r="G19" s="115"/>
      <c r="H19" s="313" t="s">
        <v>3</v>
      </c>
      <c r="J19" s="124" t="s">
        <v>153</v>
      </c>
      <c r="K19" s="124"/>
      <c r="L19" s="124" t="s">
        <v>153</v>
      </c>
      <c r="M19" s="297"/>
      <c r="N19" s="306" t="s">
        <v>333</v>
      </c>
      <c r="O19" s="297"/>
      <c r="P19" s="124" t="s">
        <v>183</v>
      </c>
      <c r="Q19" s="124"/>
      <c r="R19" s="284" t="s">
        <v>352</v>
      </c>
    </row>
    <row r="20" spans="3:19">
      <c r="D20" s="108" t="s">
        <v>111</v>
      </c>
      <c r="E20" s="123"/>
      <c r="F20" s="108" t="s">
        <v>112</v>
      </c>
      <c r="G20" s="108"/>
      <c r="H20" s="120">
        <v>70</v>
      </c>
      <c r="I20" s="134" t="s">
        <v>180</v>
      </c>
      <c r="J20" s="117">
        <f>[2]!srEnew($F$16,H20,J$17)</f>
        <v>69.069940476190482</v>
      </c>
      <c r="K20" s="134" t="s">
        <v>180</v>
      </c>
      <c r="L20" s="117">
        <f>[2]!srEnewGas($F$17,J20,L$17,$C$24*100,$D$24)</f>
        <v>66.848618281659526</v>
      </c>
      <c r="M20" s="298"/>
      <c r="N20" s="299"/>
      <c r="O20" s="298"/>
      <c r="P20" s="117">
        <f>[2]!srEoldGas($F$17,R20,P$17,$C$24*100,$D$24)</f>
        <v>67.832659198801551</v>
      </c>
      <c r="Q20" s="134" t="s">
        <v>182</v>
      </c>
      <c r="R20" s="117">
        <f>[2]!srLETt2E($F$19,R17,0,1)</f>
        <v>64.730527383743919</v>
      </c>
    </row>
    <row r="21" spans="3:19">
      <c r="F21" s="189" t="s">
        <v>161</v>
      </c>
      <c r="G21" s="110"/>
      <c r="H21" s="108" t="s">
        <v>160</v>
      </c>
      <c r="J21" s="108" t="s">
        <v>328</v>
      </c>
      <c r="L21" s="108" t="s">
        <v>329</v>
      </c>
      <c r="M21" s="300"/>
      <c r="N21" s="301"/>
      <c r="O21" s="300"/>
      <c r="P21" s="108" t="s">
        <v>331</v>
      </c>
      <c r="R21" s="108" t="s">
        <v>330</v>
      </c>
      <c r="S21" s="284"/>
    </row>
    <row r="22" spans="3:19">
      <c r="C22" s="38" t="s">
        <v>145</v>
      </c>
      <c r="D22" s="38" t="s">
        <v>144</v>
      </c>
      <c r="L22" s="295" t="s">
        <v>327</v>
      </c>
      <c r="P22" s="296" t="s">
        <v>332</v>
      </c>
    </row>
    <row r="23" spans="3:19">
      <c r="C23" s="19" t="s">
        <v>147</v>
      </c>
      <c r="D23" s="19" t="s">
        <v>146</v>
      </c>
      <c r="L23" s="302">
        <f>[2]!srE2Rng($F$18,L20)</f>
        <v>1346.11357426376</v>
      </c>
      <c r="P23" s="302">
        <f>[2]!srE2Rng($F$18,P20)</f>
        <v>1379.177349079732</v>
      </c>
    </row>
    <row r="24" spans="3:19">
      <c r="C24" s="116">
        <v>1020.5</v>
      </c>
      <c r="D24" s="116">
        <v>21</v>
      </c>
      <c r="L24" s="108" t="s">
        <v>335</v>
      </c>
      <c r="P24" s="108" t="s">
        <v>334</v>
      </c>
    </row>
    <row r="25" spans="3:19">
      <c r="C25" s="108" t="s">
        <v>149</v>
      </c>
      <c r="D25" s="108" t="s">
        <v>148</v>
      </c>
      <c r="H25" s="119" t="s">
        <v>336</v>
      </c>
      <c r="R25" s="304" t="s">
        <v>341</v>
      </c>
    </row>
    <row r="26" spans="3:19">
      <c r="H26" s="303">
        <f>H20</f>
        <v>70</v>
      </c>
      <c r="I26" s="134" t="s">
        <v>180</v>
      </c>
      <c r="J26" s="117">
        <f>[2]!srEnew($F$16,H26,J$17)</f>
        <v>69.069940476190482</v>
      </c>
      <c r="K26" s="134" t="s">
        <v>180</v>
      </c>
      <c r="L26" s="117">
        <f>[2]!srEnewGas($F$17,J26,L$17,$C$24*100,$D$24)</f>
        <v>66.848618281659526</v>
      </c>
      <c r="M26" s="134" t="s">
        <v>180</v>
      </c>
      <c r="N26" s="117">
        <f>[2]!srEnew($F$18,L26,N$17)</f>
        <v>67.832659198801551</v>
      </c>
      <c r="O26" s="134" t="s">
        <v>180</v>
      </c>
      <c r="P26" s="117">
        <f>[2]!srEnewGas($F$17,N26,P$17,$C$24*100,$D$24)</f>
        <v>64.730527383743919</v>
      </c>
      <c r="Q26" s="134" t="s">
        <v>340</v>
      </c>
      <c r="R26" s="305">
        <f>[2]!srE2LETt($F$19,P26,0)</f>
        <v>10</v>
      </c>
    </row>
    <row r="27" spans="3:19">
      <c r="H27" s="108" t="s">
        <v>337</v>
      </c>
      <c r="J27" s="108" t="s">
        <v>328</v>
      </c>
      <c r="L27" s="108" t="s">
        <v>329</v>
      </c>
      <c r="N27" s="108" t="s">
        <v>338</v>
      </c>
      <c r="P27" s="108" t="s">
        <v>339</v>
      </c>
      <c r="R27" s="108" t="s">
        <v>15</v>
      </c>
    </row>
    <row r="28" spans="3:19">
      <c r="C28" s="110" t="s">
        <v>342</v>
      </c>
      <c r="J28" s="110" t="s">
        <v>349</v>
      </c>
      <c r="P28" s="110" t="s">
        <v>302</v>
      </c>
    </row>
    <row r="29" spans="3:19">
      <c r="C29" s="110" t="s">
        <v>343</v>
      </c>
      <c r="J29" s="110" t="s">
        <v>350</v>
      </c>
      <c r="P29" s="110" t="s">
        <v>347</v>
      </c>
    </row>
    <row r="30" spans="3:19">
      <c r="C30" s="110" t="s">
        <v>344</v>
      </c>
      <c r="J30" s="110" t="s">
        <v>351</v>
      </c>
      <c r="P30" s="110" t="s">
        <v>348</v>
      </c>
    </row>
    <row r="31" spans="3:19">
      <c r="C31" s="110" t="s">
        <v>345</v>
      </c>
      <c r="P31" s="110"/>
    </row>
    <row r="32" spans="3:19">
      <c r="C32" s="110" t="s">
        <v>346</v>
      </c>
      <c r="P32" s="110"/>
    </row>
  </sheetData>
  <phoneticPr fontId="20"/>
  <pageMargins left="0.23622047244094491" right="0.23622047244094491" top="0.74803149606299213" bottom="0.74803149606299213" header="0.31496062992125984" footer="0.31496062992125984"/>
  <pageSetup paperSize="9" fitToHeight="0" pageOrder="overThenDown" orientation="landscape" r:id="rId1"/>
  <headerFooter>
    <oddHeader>&amp;L&amp;F&amp;A</oddHeader>
    <oddFooter>&amp;C&amp;P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C796A-E7F7-4EB2-B26A-DE49B7DA8DC2}">
  <sheetPr>
    <pageSetUpPr fitToPage="1"/>
  </sheetPr>
  <dimension ref="C21:E28"/>
  <sheetViews>
    <sheetView workbookViewId="0">
      <selection activeCell="G49" sqref="G49"/>
    </sheetView>
  </sheetViews>
  <sheetFormatPr defaultRowHeight="13.2"/>
  <cols>
    <col min="1" max="1" width="2.44140625" customWidth="1"/>
    <col min="3" max="3" width="6.33203125" customWidth="1"/>
    <col min="4" max="4" width="36.44140625" customWidth="1"/>
    <col min="5" max="5" width="41.44140625" customWidth="1"/>
  </cols>
  <sheetData>
    <row r="21" spans="3:5" s="55" customFormat="1" ht="17.25" customHeight="1">
      <c r="C21" s="61" t="s">
        <v>63</v>
      </c>
      <c r="D21" s="293" t="s">
        <v>70</v>
      </c>
      <c r="E21" s="294"/>
    </row>
    <row r="22" spans="3:5" s="55" customFormat="1" ht="17.25" customHeight="1">
      <c r="C22" s="58"/>
      <c r="D22" s="100" t="s">
        <v>78</v>
      </c>
      <c r="E22" s="101" t="s">
        <v>79</v>
      </c>
    </row>
    <row r="23" spans="3:5" s="55" customFormat="1" ht="17.25" customHeight="1">
      <c r="C23" s="59" t="s">
        <v>64</v>
      </c>
      <c r="D23" s="62" t="s">
        <v>71</v>
      </c>
      <c r="E23" s="56" t="s">
        <v>105</v>
      </c>
    </row>
    <row r="24" spans="3:5" s="55" customFormat="1" ht="17.25" customHeight="1">
      <c r="C24" s="59" t="s">
        <v>65</v>
      </c>
      <c r="D24" s="62" t="s">
        <v>72</v>
      </c>
      <c r="E24" s="56" t="s">
        <v>106</v>
      </c>
    </row>
    <row r="25" spans="3:5" s="55" customFormat="1" ht="17.25" customHeight="1">
      <c r="C25" s="59" t="s">
        <v>66</v>
      </c>
      <c r="D25" s="63" t="s">
        <v>74</v>
      </c>
      <c r="E25" s="56" t="s">
        <v>107</v>
      </c>
    </row>
    <row r="26" spans="3:5" s="55" customFormat="1" ht="17.25" customHeight="1">
      <c r="C26" s="59" t="s">
        <v>67</v>
      </c>
      <c r="D26" s="62" t="s">
        <v>73</v>
      </c>
      <c r="E26" s="102" t="s">
        <v>75</v>
      </c>
    </row>
    <row r="27" spans="3:5" s="55" customFormat="1" ht="17.25" customHeight="1">
      <c r="C27" s="59" t="s">
        <v>68</v>
      </c>
      <c r="D27" s="62" t="s">
        <v>76</v>
      </c>
      <c r="E27" s="56" t="s">
        <v>108</v>
      </c>
    </row>
    <row r="28" spans="3:5" s="55" customFormat="1" ht="17.25" customHeight="1">
      <c r="C28" s="60" t="s">
        <v>69</v>
      </c>
      <c r="D28" s="64" t="s">
        <v>77</v>
      </c>
      <c r="E28" s="57" t="s">
        <v>109</v>
      </c>
    </row>
  </sheetData>
  <mergeCells count="1">
    <mergeCell ref="D21:E21"/>
  </mergeCells>
  <phoneticPr fontId="20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&amp;L&amp;F &amp;A</oddHead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VerLog</vt:lpstr>
      <vt:lpstr>ex01</vt:lpstr>
      <vt:lpstr>ex02</vt:lpstr>
      <vt:lpstr>eg03</vt:lpstr>
      <vt:lpstr>ex04</vt:lpstr>
      <vt:lpstr>ex05</vt:lpstr>
      <vt:lpstr>ex06</vt:lpstr>
      <vt:lpstr>ex07</vt:lpstr>
      <vt:lpstr>note</vt:lpstr>
      <vt:lpstr>WBtitle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AYoshida(RIKEN)</dc:creator>
  <cp:lastModifiedBy>ayoshida</cp:lastModifiedBy>
  <cp:lastPrinted>2022-09-14T01:45:48Z</cp:lastPrinted>
  <dcterms:created xsi:type="dcterms:W3CDTF">2008-11-07T05:47:18Z</dcterms:created>
  <dcterms:modified xsi:type="dcterms:W3CDTF">2022-09-14T04:13:20Z</dcterms:modified>
</cp:coreProperties>
</file>